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固定資産公表用資料" sheetId="1" r:id="rId1"/>
  </sheets>
  <definedNames>
    <definedName name="_xlnm._FilterDatabase" localSheetId="0" hidden="1">固定資産公表用資料!$A$2:$J$2</definedName>
    <definedName name="_xlnm.Print_Titles" localSheetId="0">固定資産公表用資料!$2:$2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1"/>
  <c r="B2" l="1"/>
  <c r="C2"/>
  <c r="E2"/>
  <c r="F2"/>
  <c r="G2"/>
  <c r="H2"/>
  <c r="D2"/>
  <c r="A2"/>
  <c r="I2"/>
  <c r="J2"/>
  <c r="B8"/>
  <c r="C8"/>
  <c r="D8"/>
  <c r="A8"/>
  <c r="I8"/>
  <c r="J8"/>
  <c r="B9"/>
  <c r="C9"/>
  <c r="D9"/>
  <c r="A9"/>
  <c r="I9"/>
  <c r="J9"/>
  <c r="B10"/>
  <c r="C10"/>
  <c r="D10"/>
  <c r="A10"/>
  <c r="I10"/>
  <c r="J10"/>
  <c r="B11"/>
  <c r="C11"/>
  <c r="D11"/>
  <c r="A11"/>
  <c r="I11"/>
  <c r="J11"/>
  <c r="B12"/>
  <c r="C12"/>
  <c r="D12"/>
  <c r="A12"/>
  <c r="I12"/>
  <c r="J12"/>
  <c r="B3"/>
  <c r="C3"/>
  <c r="D3"/>
  <c r="A3"/>
  <c r="I3"/>
  <c r="J3"/>
  <c r="B4"/>
  <c r="C4"/>
  <c r="D4"/>
  <c r="A4"/>
  <c r="I4"/>
  <c r="J4"/>
  <c r="B5"/>
  <c r="C5"/>
  <c r="D5"/>
  <c r="A5"/>
  <c r="I5"/>
  <c r="J5"/>
  <c r="B6"/>
  <c r="C6"/>
  <c r="D6"/>
  <c r="A6"/>
  <c r="I6"/>
  <c r="J6"/>
  <c r="B13"/>
  <c r="C13"/>
  <c r="D13"/>
  <c r="A13"/>
  <c r="I13"/>
  <c r="J13"/>
  <c r="B34"/>
  <c r="D34"/>
  <c r="A34"/>
  <c r="I34"/>
  <c r="J34"/>
  <c r="B35"/>
  <c r="C35"/>
  <c r="D35"/>
  <c r="A35"/>
  <c r="I35"/>
  <c r="J35"/>
  <c r="B7"/>
  <c r="C7"/>
  <c r="D7"/>
  <c r="A7"/>
  <c r="I7"/>
  <c r="J7"/>
  <c r="B14"/>
  <c r="C14"/>
  <c r="D14"/>
  <c r="A14"/>
  <c r="I14"/>
  <c r="J14"/>
  <c r="B36"/>
  <c r="C36"/>
  <c r="D36"/>
  <c r="A36"/>
  <c r="I36"/>
  <c r="J36"/>
  <c r="B37"/>
  <c r="C37"/>
  <c r="D37"/>
  <c r="A37"/>
  <c r="I37"/>
  <c r="J37"/>
  <c r="B38"/>
  <c r="C38"/>
  <c r="D38"/>
  <c r="A38"/>
  <c r="I38"/>
  <c r="J38"/>
  <c r="B39"/>
  <c r="C39"/>
  <c r="D39"/>
  <c r="A39"/>
  <c r="I39"/>
  <c r="J39"/>
  <c r="B40"/>
  <c r="C40"/>
  <c r="D40"/>
  <c r="A40"/>
  <c r="I40"/>
  <c r="J40"/>
  <c r="B41"/>
  <c r="C41"/>
  <c r="D41"/>
  <c r="A41"/>
  <c r="I41"/>
  <c r="J41"/>
  <c r="B42"/>
  <c r="C42"/>
  <c r="D42"/>
  <c r="A42"/>
  <c r="I42"/>
  <c r="J42"/>
  <c r="B43"/>
  <c r="C43"/>
  <c r="D43"/>
  <c r="A43"/>
  <c r="I43"/>
  <c r="J43"/>
  <c r="B44"/>
  <c r="C44"/>
  <c r="D44"/>
  <c r="A44"/>
  <c r="I44"/>
  <c r="J44"/>
  <c r="B45"/>
  <c r="C45"/>
  <c r="D45"/>
  <c r="A45"/>
  <c r="I45"/>
  <c r="J45"/>
  <c r="B20"/>
  <c r="C20"/>
  <c r="D20"/>
  <c r="A20"/>
  <c r="I20"/>
  <c r="J20"/>
  <c r="B46"/>
  <c r="C46"/>
  <c r="D46"/>
  <c r="A46"/>
  <c r="I46"/>
  <c r="J46"/>
  <c r="B47"/>
  <c r="C47"/>
  <c r="D47"/>
  <c r="A47"/>
  <c r="I47"/>
  <c r="J47"/>
  <c r="B48"/>
  <c r="C48"/>
  <c r="D48"/>
  <c r="A48"/>
  <c r="I48"/>
  <c r="J48"/>
  <c r="B21"/>
  <c r="C21"/>
  <c r="D21"/>
  <c r="A21"/>
  <c r="I21"/>
  <c r="J21"/>
  <c r="B49"/>
  <c r="C49"/>
  <c r="D49"/>
  <c r="A49"/>
  <c r="I49"/>
  <c r="J49"/>
  <c r="B50"/>
  <c r="C50"/>
  <c r="D50"/>
  <c r="A50"/>
  <c r="I50"/>
  <c r="J50"/>
  <c r="B51"/>
  <c r="C51"/>
  <c r="D51"/>
  <c r="A51"/>
  <c r="I51"/>
  <c r="J51"/>
  <c r="B52"/>
  <c r="C52"/>
  <c r="D52"/>
  <c r="A52"/>
  <c r="I52"/>
  <c r="J52"/>
  <c r="B53"/>
  <c r="C53"/>
  <c r="D53"/>
  <c r="A53"/>
  <c r="I53"/>
  <c r="J53"/>
  <c r="B54"/>
  <c r="C54"/>
  <c r="D54"/>
  <c r="A54"/>
  <c r="I54"/>
  <c r="J54"/>
  <c r="B55"/>
  <c r="C55"/>
  <c r="D55"/>
  <c r="A55"/>
  <c r="I55"/>
  <c r="J55"/>
  <c r="B56"/>
  <c r="C56"/>
  <c r="D56"/>
  <c r="A56"/>
  <c r="I56"/>
  <c r="J56"/>
  <c r="B22"/>
  <c r="C22"/>
  <c r="D22"/>
  <c r="A22"/>
  <c r="I22"/>
  <c r="J22"/>
  <c r="B15"/>
  <c r="C15"/>
  <c r="D15"/>
  <c r="A15"/>
  <c r="I15"/>
  <c r="J15"/>
  <c r="B16"/>
  <c r="C16"/>
  <c r="D16"/>
  <c r="A16"/>
  <c r="I16"/>
  <c r="J16"/>
  <c r="B57"/>
  <c r="C57"/>
  <c r="D57"/>
  <c r="A57"/>
  <c r="I57"/>
  <c r="J57"/>
  <c r="B23"/>
  <c r="C23"/>
  <c r="D23"/>
  <c r="A23"/>
  <c r="I23"/>
  <c r="J23"/>
  <c r="B58"/>
  <c r="C58"/>
  <c r="D58"/>
  <c r="A58"/>
  <c r="I58"/>
  <c r="J58"/>
  <c r="B59"/>
  <c r="C59"/>
  <c r="D59"/>
  <c r="A59"/>
  <c r="I59"/>
  <c r="J59"/>
  <c r="B60"/>
  <c r="C60"/>
  <c r="D60"/>
  <c r="A60"/>
  <c r="I60"/>
  <c r="J60"/>
  <c r="B61"/>
  <c r="C61"/>
  <c r="D61"/>
  <c r="A61"/>
  <c r="I61"/>
  <c r="J61"/>
  <c r="B62"/>
  <c r="C62"/>
  <c r="D62"/>
  <c r="A62"/>
  <c r="I62"/>
  <c r="J62"/>
  <c r="B24"/>
  <c r="C24"/>
  <c r="D24"/>
  <c r="A24"/>
  <c r="I24"/>
  <c r="J24"/>
  <c r="B63"/>
  <c r="C63"/>
  <c r="D63"/>
  <c r="A63"/>
  <c r="I63"/>
  <c r="J63"/>
  <c r="B64"/>
  <c r="C64"/>
  <c r="D64"/>
  <c r="A64"/>
  <c r="I64"/>
  <c r="J64"/>
  <c r="B65"/>
  <c r="C65"/>
  <c r="D65"/>
  <c r="A65"/>
  <c r="I65"/>
  <c r="J65"/>
  <c r="B66"/>
  <c r="C66"/>
  <c r="D66"/>
  <c r="A66"/>
  <c r="I66"/>
  <c r="J66"/>
  <c r="B67"/>
  <c r="C67"/>
  <c r="D67"/>
  <c r="A67"/>
  <c r="I67"/>
  <c r="J67"/>
  <c r="B68"/>
  <c r="C68"/>
  <c r="D68"/>
  <c r="A68"/>
  <c r="I68"/>
  <c r="J68"/>
  <c r="B69"/>
  <c r="C69"/>
  <c r="D69"/>
  <c r="A69"/>
  <c r="I69"/>
  <c r="J69"/>
  <c r="B70"/>
  <c r="C70"/>
  <c r="D70"/>
  <c r="A70"/>
  <c r="I70"/>
  <c r="J70"/>
  <c r="B71"/>
  <c r="C71"/>
  <c r="D71"/>
  <c r="A71"/>
  <c r="I71"/>
  <c r="J71"/>
  <c r="B72"/>
  <c r="C72"/>
  <c r="D72"/>
  <c r="A72"/>
  <c r="I72"/>
  <c r="J72"/>
  <c r="B73"/>
  <c r="C73"/>
  <c r="D73"/>
  <c r="A73"/>
  <c r="I73"/>
  <c r="J73"/>
  <c r="B74"/>
  <c r="C74"/>
  <c r="D74"/>
  <c r="A74"/>
  <c r="I74"/>
  <c r="J74"/>
  <c r="B75"/>
  <c r="C75"/>
  <c r="D75"/>
  <c r="A75"/>
  <c r="I75"/>
  <c r="J75"/>
  <c r="B76"/>
  <c r="C76"/>
  <c r="D76"/>
  <c r="A76"/>
  <c r="I76"/>
  <c r="J76"/>
  <c r="B77"/>
  <c r="C77"/>
  <c r="D77"/>
  <c r="A77"/>
  <c r="I77"/>
  <c r="J77"/>
  <c r="B78"/>
  <c r="C78"/>
  <c r="D78"/>
  <c r="A78"/>
  <c r="I78"/>
  <c r="J78"/>
  <c r="B79"/>
  <c r="C79"/>
  <c r="D79"/>
  <c r="A79"/>
  <c r="I79"/>
  <c r="J79"/>
  <c r="B80"/>
  <c r="C80"/>
  <c r="D80"/>
  <c r="A80"/>
  <c r="I80"/>
  <c r="J80"/>
  <c r="B81"/>
  <c r="C81"/>
  <c r="D81"/>
  <c r="A81"/>
  <c r="I81"/>
  <c r="J81"/>
  <c r="B82"/>
  <c r="C82"/>
  <c r="D82"/>
  <c r="A82"/>
  <c r="I82"/>
  <c r="J82"/>
  <c r="B83"/>
  <c r="C83"/>
  <c r="D83"/>
  <c r="A83"/>
  <c r="I83"/>
  <c r="J83"/>
  <c r="B84"/>
  <c r="C84"/>
  <c r="D84"/>
  <c r="A84"/>
  <c r="I84"/>
  <c r="J84"/>
  <c r="B85"/>
  <c r="C85"/>
  <c r="D85"/>
  <c r="A85"/>
  <c r="I85"/>
  <c r="J85"/>
  <c r="B86"/>
  <c r="C86"/>
  <c r="D86"/>
  <c r="A86"/>
  <c r="I86"/>
  <c r="J86"/>
  <c r="B87"/>
  <c r="C87"/>
  <c r="D87"/>
  <c r="A87"/>
  <c r="I87"/>
  <c r="J87"/>
  <c r="B88"/>
  <c r="C88"/>
  <c r="D88"/>
  <c r="A88"/>
  <c r="I88"/>
  <c r="J88"/>
  <c r="B89"/>
  <c r="C89"/>
  <c r="D89"/>
  <c r="A89"/>
  <c r="I89"/>
  <c r="J89"/>
  <c r="B90"/>
  <c r="C90"/>
  <c r="D90"/>
  <c r="A90"/>
  <c r="I90"/>
  <c r="J90"/>
  <c r="B91"/>
  <c r="C91"/>
  <c r="D91"/>
  <c r="A91"/>
  <c r="I91"/>
  <c r="J91"/>
  <c r="B92"/>
  <c r="C92"/>
  <c r="D92"/>
  <c r="A92"/>
  <c r="I92"/>
  <c r="J92"/>
  <c r="B93"/>
  <c r="C93"/>
  <c r="D93"/>
  <c r="A93"/>
  <c r="I93"/>
  <c r="J93"/>
  <c r="B94"/>
  <c r="C94"/>
  <c r="D94"/>
  <c r="A94"/>
  <c r="I94"/>
  <c r="J94"/>
  <c r="B95"/>
  <c r="C95"/>
  <c r="D95"/>
  <c r="A95"/>
  <c r="I95"/>
  <c r="J95"/>
  <c r="B96"/>
  <c r="C96"/>
  <c r="D96"/>
  <c r="A96"/>
  <c r="I96"/>
  <c r="J96"/>
  <c r="B97"/>
  <c r="C97"/>
  <c r="D97"/>
  <c r="A97"/>
  <c r="I97"/>
  <c r="J97"/>
  <c r="B98"/>
  <c r="C98"/>
  <c r="D98"/>
  <c r="A98"/>
  <c r="I98"/>
  <c r="J98"/>
  <c r="B99"/>
  <c r="C99"/>
  <c r="D99"/>
  <c r="A99"/>
  <c r="I99"/>
  <c r="J99"/>
  <c r="B100"/>
  <c r="C100"/>
  <c r="D100"/>
  <c r="A100"/>
  <c r="I100"/>
  <c r="J100"/>
  <c r="B101"/>
  <c r="C101"/>
  <c r="D101"/>
  <c r="A101"/>
  <c r="I101"/>
  <c r="J101"/>
  <c r="B102"/>
  <c r="C102"/>
  <c r="D102"/>
  <c r="A102"/>
  <c r="I102"/>
  <c r="J102"/>
  <c r="B103"/>
  <c r="C103"/>
  <c r="D103"/>
  <c r="A103"/>
  <c r="I103"/>
  <c r="J103"/>
  <c r="B104"/>
  <c r="C104"/>
  <c r="D104"/>
  <c r="A104"/>
  <c r="I104"/>
  <c r="J104"/>
  <c r="B105"/>
  <c r="C105"/>
  <c r="D105"/>
  <c r="A105"/>
  <c r="I105"/>
  <c r="J105"/>
  <c r="B106"/>
  <c r="C106"/>
  <c r="D106"/>
  <c r="A106"/>
  <c r="I106"/>
  <c r="J106"/>
  <c r="B107"/>
  <c r="C107"/>
  <c r="D107"/>
  <c r="A107"/>
  <c r="I107"/>
  <c r="J107"/>
  <c r="B108"/>
  <c r="C108"/>
  <c r="D108"/>
  <c r="A108"/>
  <c r="I108"/>
  <c r="J108"/>
  <c r="B109"/>
  <c r="C109"/>
  <c r="D109"/>
  <c r="A109"/>
  <c r="I109"/>
  <c r="J109"/>
  <c r="B110"/>
  <c r="C110"/>
  <c r="D110"/>
  <c r="A110"/>
  <c r="I110"/>
  <c r="J110"/>
  <c r="B111"/>
  <c r="C111"/>
  <c r="D111"/>
  <c r="A111"/>
  <c r="I111"/>
  <c r="J111"/>
  <c r="B112"/>
  <c r="C112"/>
  <c r="D112"/>
  <c r="A112"/>
  <c r="I112"/>
  <c r="J112"/>
  <c r="B113"/>
  <c r="C113"/>
  <c r="D113"/>
  <c r="A113"/>
  <c r="I113"/>
  <c r="J113"/>
  <c r="B114"/>
  <c r="C114"/>
  <c r="D114"/>
  <c r="A114"/>
  <c r="I114"/>
  <c r="J114"/>
  <c r="B115"/>
  <c r="C115"/>
  <c r="D115"/>
  <c r="A115"/>
  <c r="I115"/>
  <c r="J115"/>
  <c r="B116"/>
  <c r="C116"/>
  <c r="D116"/>
  <c r="A116"/>
  <c r="I116"/>
  <c r="J116"/>
  <c r="B117"/>
  <c r="C117"/>
  <c r="D117"/>
  <c r="A117"/>
  <c r="I117"/>
  <c r="J117"/>
  <c r="B118"/>
  <c r="C118"/>
  <c r="D118"/>
  <c r="A118"/>
  <c r="I118"/>
  <c r="J118"/>
  <c r="B119"/>
  <c r="C119"/>
  <c r="D119"/>
  <c r="A119"/>
  <c r="I119"/>
  <c r="J119"/>
  <c r="B120"/>
  <c r="C120"/>
  <c r="D120"/>
  <c r="A120"/>
  <c r="I120"/>
  <c r="J120"/>
  <c r="B121"/>
  <c r="C121"/>
  <c r="D121"/>
  <c r="A121"/>
  <c r="I121"/>
  <c r="J121"/>
  <c r="B122"/>
  <c r="C122"/>
  <c r="D122"/>
  <c r="A122"/>
  <c r="I122"/>
  <c r="J122"/>
  <c r="B123"/>
  <c r="C123"/>
  <c r="D123"/>
  <c r="A123"/>
  <c r="I123"/>
  <c r="J123"/>
  <c r="B124"/>
  <c r="C124"/>
  <c r="D124"/>
  <c r="A124"/>
  <c r="I124"/>
  <c r="J124"/>
  <c r="B125"/>
  <c r="C125"/>
  <c r="D125"/>
  <c r="A125"/>
  <c r="I125"/>
  <c r="J125"/>
  <c r="B25"/>
  <c r="C25"/>
  <c r="D25"/>
  <c r="A25"/>
  <c r="I25"/>
  <c r="J25"/>
  <c r="B26"/>
  <c r="C26"/>
  <c r="D26"/>
  <c r="A26"/>
  <c r="I26"/>
  <c r="J26"/>
  <c r="B27"/>
  <c r="C27"/>
  <c r="D27"/>
  <c r="A27"/>
  <c r="I27"/>
  <c r="J27"/>
  <c r="B28"/>
  <c r="C28"/>
  <c r="D28"/>
  <c r="A28"/>
  <c r="I28"/>
  <c r="J28"/>
  <c r="B29"/>
  <c r="C29"/>
  <c r="D29"/>
  <c r="A29"/>
  <c r="I29"/>
  <c r="J29"/>
  <c r="B30"/>
  <c r="C30"/>
  <c r="D30"/>
  <c r="A30"/>
  <c r="I30"/>
  <c r="J30"/>
  <c r="B31"/>
  <c r="C31"/>
  <c r="D31"/>
  <c r="A31"/>
  <c r="I31"/>
  <c r="J31"/>
  <c r="B32"/>
  <c r="C32"/>
  <c r="D32"/>
  <c r="A32"/>
  <c r="I32"/>
  <c r="J32"/>
  <c r="B126"/>
  <c r="C126"/>
  <c r="D126"/>
  <c r="A126"/>
  <c r="I126"/>
  <c r="J126"/>
  <c r="B127"/>
  <c r="C127"/>
  <c r="D127"/>
  <c r="A127"/>
  <c r="I127"/>
  <c r="J127"/>
  <c r="B128"/>
  <c r="C128"/>
  <c r="D128"/>
  <c r="A128"/>
  <c r="I128"/>
  <c r="J128"/>
  <c r="B129"/>
  <c r="C129"/>
  <c r="D129"/>
  <c r="A129"/>
  <c r="I129"/>
  <c r="J129"/>
  <c r="B130"/>
  <c r="C130"/>
  <c r="D130"/>
  <c r="A130"/>
  <c r="I130"/>
  <c r="J130"/>
  <c r="B131"/>
  <c r="C131"/>
  <c r="D131"/>
  <c r="A131"/>
  <c r="I131"/>
  <c r="J131"/>
  <c r="B132"/>
  <c r="C132"/>
  <c r="D132"/>
  <c r="A132"/>
  <c r="I132"/>
  <c r="J132"/>
  <c r="B133"/>
  <c r="C133"/>
  <c r="D133"/>
  <c r="A133"/>
  <c r="I133"/>
  <c r="J133"/>
  <c r="B134"/>
  <c r="C134"/>
  <c r="D134"/>
  <c r="A134"/>
  <c r="I134"/>
  <c r="J134"/>
  <c r="B135"/>
  <c r="C135"/>
  <c r="D135"/>
  <c r="A135"/>
  <c r="I135"/>
  <c r="J135"/>
  <c r="B17"/>
  <c r="C17"/>
  <c r="D17"/>
  <c r="A17"/>
  <c r="I17"/>
  <c r="J17"/>
  <c r="B33"/>
  <c r="C33"/>
  <c r="D33"/>
  <c r="A33"/>
  <c r="I33"/>
  <c r="J33"/>
  <c r="B136"/>
  <c r="C136"/>
  <c r="D136"/>
  <c r="A136"/>
  <c r="I136"/>
  <c r="J136"/>
  <c r="B137"/>
  <c r="C137"/>
  <c r="D137"/>
  <c r="A137"/>
  <c r="I137"/>
  <c r="J137"/>
  <c r="B138"/>
  <c r="C138"/>
  <c r="D138"/>
  <c r="A138"/>
  <c r="I138"/>
  <c r="J138"/>
  <c r="B139"/>
  <c r="C139"/>
  <c r="D139"/>
  <c r="A139"/>
  <c r="I139"/>
  <c r="J139"/>
  <c r="B140"/>
  <c r="C140"/>
  <c r="D140"/>
  <c r="A140"/>
  <c r="I140"/>
  <c r="J140"/>
  <c r="B141"/>
  <c r="C141"/>
  <c r="D141"/>
  <c r="A141"/>
  <c r="I141"/>
  <c r="J141"/>
  <c r="B142"/>
  <c r="C142"/>
  <c r="D142"/>
  <c r="A142"/>
  <c r="I142"/>
  <c r="J142"/>
  <c r="B143"/>
  <c r="C143"/>
  <c r="D143"/>
  <c r="A143"/>
  <c r="I143"/>
  <c r="J143"/>
  <c r="B144"/>
  <c r="C144"/>
  <c r="D144"/>
  <c r="A144"/>
  <c r="I144"/>
  <c r="J144"/>
  <c r="B145"/>
  <c r="C145"/>
  <c r="D145"/>
  <c r="A145"/>
  <c r="I145"/>
  <c r="J145"/>
  <c r="B146"/>
  <c r="C146"/>
  <c r="D146"/>
  <c r="A146"/>
  <c r="I146"/>
  <c r="J146"/>
  <c r="B147"/>
  <c r="C147"/>
  <c r="D147"/>
  <c r="A147"/>
  <c r="I147"/>
  <c r="J147"/>
  <c r="B148"/>
  <c r="C148"/>
  <c r="D148"/>
  <c r="A148"/>
  <c r="I148"/>
  <c r="J148"/>
  <c r="B149"/>
  <c r="C149"/>
  <c r="D149"/>
  <c r="A149"/>
  <c r="I149"/>
  <c r="J149"/>
  <c r="B150"/>
  <c r="C150"/>
  <c r="D150"/>
  <c r="A150"/>
  <c r="I150"/>
  <c r="J150"/>
  <c r="B18"/>
  <c r="C18"/>
  <c r="D18"/>
  <c r="A18"/>
  <c r="I18"/>
  <c r="J18"/>
  <c r="B151"/>
  <c r="C151"/>
  <c r="D151"/>
  <c r="A151"/>
  <c r="I151"/>
  <c r="J151"/>
  <c r="B165"/>
  <c r="C165"/>
  <c r="D165"/>
  <c r="A165"/>
  <c r="I165"/>
  <c r="J165"/>
  <c r="B152"/>
  <c r="C152"/>
  <c r="D152"/>
  <c r="A152"/>
  <c r="I152"/>
  <c r="J152"/>
  <c r="B153"/>
  <c r="C153"/>
  <c r="D153"/>
  <c r="A153"/>
  <c r="I153"/>
  <c r="J153"/>
  <c r="B154"/>
  <c r="C154"/>
  <c r="D154"/>
  <c r="A154"/>
  <c r="I154"/>
  <c r="J154"/>
  <c r="B155"/>
  <c r="C155"/>
  <c r="D155"/>
  <c r="A155"/>
  <c r="I155"/>
  <c r="J155"/>
  <c r="B156"/>
  <c r="C156"/>
  <c r="D156"/>
  <c r="A156"/>
  <c r="I156"/>
  <c r="J156"/>
  <c r="B157"/>
  <c r="C157"/>
  <c r="D157"/>
  <c r="A157"/>
  <c r="I157"/>
  <c r="J157"/>
  <c r="B158"/>
  <c r="C158"/>
  <c r="D158"/>
  <c r="A158"/>
  <c r="I158"/>
  <c r="J158"/>
  <c r="B159"/>
  <c r="C159"/>
  <c r="D159"/>
  <c r="A159"/>
  <c r="I159"/>
  <c r="J159"/>
  <c r="B160"/>
  <c r="C160"/>
  <c r="D160"/>
  <c r="A160"/>
  <c r="I160"/>
  <c r="J160"/>
  <c r="B161"/>
  <c r="C161"/>
  <c r="D161"/>
  <c r="A161"/>
  <c r="I161"/>
  <c r="J161"/>
  <c r="B162"/>
  <c r="C162"/>
  <c r="D162"/>
  <c r="A162"/>
  <c r="I162"/>
  <c r="J162"/>
  <c r="B163"/>
  <c r="C163"/>
  <c r="D163"/>
  <c r="A163"/>
  <c r="I163"/>
  <c r="J163"/>
  <c r="B164"/>
  <c r="C164"/>
  <c r="D164"/>
  <c r="A164"/>
  <c r="I164"/>
  <c r="J164"/>
  <c r="B19"/>
  <c r="C19"/>
  <c r="D19"/>
  <c r="A19"/>
  <c r="I19"/>
  <c r="J19"/>
</calcChain>
</file>

<file path=xl/sharedStrings.xml><?xml version="1.0" encoding="utf-8"?>
<sst xmlns="http://schemas.openxmlformats.org/spreadsheetml/2006/main" count="1" uniqueCount="1">
  <si>
    <t>淡路広域消防事務組合　固定資産一覧表</t>
    <rPh sb="0" eb="10">
      <t>アワジコウイキショウボウジムクミアイ</t>
    </rPh>
    <rPh sb="11" eb="13">
      <t>コテイ</t>
    </rPh>
    <rPh sb="13" eb="15">
      <t>シサン</t>
    </rPh>
    <rPh sb="15" eb="17">
      <t>イチラン</t>
    </rPh>
    <rPh sb="17" eb="18">
      <t>ヒョウ</t>
    </rPh>
    <phoneticPr fontId="18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</si>
</sst>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[$-411]ge\.m\.d;@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177" fontId="19" fillId="0" borderId="0" xfId="0" applyNumberFormat="1" applyFont="1">
      <alignment vertical="center"/>
    </xf>
    <xf numFmtId="176" fontId="19" fillId="0" borderId="0" xfId="1" applyNumberFormat="1" applyFont="1">
      <alignment vertical="center"/>
    </xf>
    <xf numFmtId="38" fontId="19" fillId="0" borderId="0" xfId="1" applyFont="1">
      <alignment vertical="center"/>
    </xf>
    <xf numFmtId="0" fontId="19" fillId="34" borderId="0" xfId="0" applyFont="1" applyFill="1">
      <alignment vertical="center"/>
    </xf>
    <xf numFmtId="38" fontId="19" fillId="34" borderId="0" xfId="1" applyFont="1" applyFill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65"/>
  <sheetViews>
    <sheetView tabSelected="1" view="pageBreakPreview" zoomScaleNormal="100" zoomScaleSheetLayoutView="100" workbookViewId="0">
      <selection activeCell="C7" sqref="C7"/>
    </sheetView>
  </sheetViews>
  <sheetFormatPr defaultRowHeight="15.95" customHeight="1" outlineLevelCol="1"/>
  <cols>
    <col min="1" max="1" width="10.75" style="1" customWidth="1"/>
    <col min="2" max="2" width="12.25" style="1" bestFit="1" customWidth="1"/>
    <col min="3" max="3" width="39.25" style="1" bestFit="1" customWidth="1"/>
    <col min="4" max="4" width="9.5" style="1" bestFit="1" customWidth="1"/>
    <col min="5" max="5" width="11" style="1" bestFit="1" customWidth="1"/>
    <col min="6" max="6" width="10.375" style="5" bestFit="1" customWidth="1"/>
    <col min="7" max="7" width="14.25" style="1" bestFit="1" customWidth="1"/>
    <col min="8" max="8" width="9.875" style="1" bestFit="1" customWidth="1"/>
    <col min="9" max="9" width="25" style="1" hidden="1" customWidth="1" outlineLevel="1"/>
    <col min="10" max="10" width="13" style="1" hidden="1" customWidth="1" outlineLevel="1"/>
    <col min="11" max="11" width="9" style="1" collapsed="1"/>
    <col min="12" max="16384" width="9" style="1"/>
  </cols>
  <sheetData>
    <row r="1" spans="1:16384" s="9" customFormat="1" ht="32.25" customHeight="1">
      <c r="A1" s="10" t="s">
        <v>0</v>
      </c>
      <c r="B1" s="10"/>
      <c r="C1" s="10"/>
      <c r="D1" s="10"/>
      <c r="E1" s="10"/>
      <c r="F1" s="10"/>
      <c r="G1" s="10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  <c r="XFD1" s="8"/>
    </row>
    <row r="2" spans="1:16384" ht="15.95" customHeight="1">
      <c r="A2" s="6" t="str">
        <f>"勘定科目"</f>
        <v>勘定科目</v>
      </c>
      <c r="B2" s="6" t="str">
        <f>"資産番号"</f>
        <v>資産番号</v>
      </c>
      <c r="C2" s="6" t="str">
        <f>"資産名称"</f>
        <v>資産名称</v>
      </c>
      <c r="D2" s="6" t="str">
        <f>"耐用年数"</f>
        <v>耐用年数</v>
      </c>
      <c r="E2" s="6" t="str">
        <f>"取得年月日"</f>
        <v>取得年月日</v>
      </c>
      <c r="F2" s="7" t="str">
        <f>"取得価額"</f>
        <v>取得価額</v>
      </c>
      <c r="G2" s="6" t="str">
        <f>"減価償却累計額"</f>
        <v>減価償却累計額</v>
      </c>
      <c r="H2" s="6" t="str">
        <f>"帳簿価額"</f>
        <v>帳簿価額</v>
      </c>
      <c r="I2" s="2" t="str">
        <f>"[数量（（延床）面積）]"</f>
        <v>[数量（（延床）面積）]</v>
      </c>
      <c r="J2" s="2" t="str">
        <f>"数量の単位"</f>
        <v>数量の単位</v>
      </c>
    </row>
    <row r="3" spans="1:16384" ht="15.95" customHeight="1">
      <c r="A3" s="1" t="str">
        <f>"一般土地"</f>
        <v>一般土地</v>
      </c>
      <c r="B3" s="1" t="str">
        <f>"350120010001"</f>
        <v>350120010001</v>
      </c>
      <c r="C3" s="1" t="str">
        <f>"淡路広域消防事務組合　消防本部庁舎(消防ﾋﾞﾙ)用途"</f>
        <v>淡路広域消防事務組合　消防本部庁舎(消防ﾋﾞﾙ)用途</v>
      </c>
      <c r="D3" s="1" t="str">
        <f>""</f>
        <v/>
      </c>
      <c r="E3" s="3">
        <v>27752</v>
      </c>
      <c r="F3" s="4">
        <v>89860356</v>
      </c>
      <c r="G3" s="5">
        <v>0</v>
      </c>
      <c r="H3" s="5">
        <v>89860356</v>
      </c>
      <c r="I3" s="1" t="str">
        <f>"1826.43"</f>
        <v>1826.43</v>
      </c>
      <c r="J3" s="1" t="str">
        <f t="shared" ref="J3:J18" si="0">"㎡"</f>
        <v>㎡</v>
      </c>
    </row>
    <row r="4" spans="1:16384" ht="15.95" customHeight="1">
      <c r="A4" s="1" t="str">
        <f>"一般土地"</f>
        <v>一般土地</v>
      </c>
      <c r="B4" s="1" t="str">
        <f>"350120010002"</f>
        <v>350120010002</v>
      </c>
      <c r="C4" s="1" t="str">
        <f>"淡路広域消防事務組合　消防本部庁舎(消防ﾋﾞﾙ)用途"</f>
        <v>淡路広域消防事務組合　消防本部庁舎(消防ﾋﾞﾙ)用途</v>
      </c>
      <c r="D4" s="1" t="str">
        <f>""</f>
        <v/>
      </c>
      <c r="E4" s="3">
        <v>27752</v>
      </c>
      <c r="F4" s="4">
        <v>391884</v>
      </c>
      <c r="G4" s="5">
        <v>0</v>
      </c>
      <c r="H4" s="5">
        <v>391884</v>
      </c>
      <c r="I4" s="1" t="str">
        <f>"11.56"</f>
        <v>11.56</v>
      </c>
      <c r="J4" s="1" t="str">
        <f t="shared" si="0"/>
        <v>㎡</v>
      </c>
    </row>
    <row r="5" spans="1:16384" ht="15.95" customHeight="1">
      <c r="A5" s="1" t="str">
        <f>"一般土地"</f>
        <v>一般土地</v>
      </c>
      <c r="B5" s="1" t="str">
        <f>"350120010003"</f>
        <v>350120010003</v>
      </c>
      <c r="C5" s="1" t="str">
        <f>"淡路広域消防事務組合　消防本部庁舎(消防ﾋﾞﾙ)用途"</f>
        <v>淡路広域消防事務組合　消防本部庁舎(消防ﾋﾞﾙ)用途</v>
      </c>
      <c r="D5" s="1" t="str">
        <f>""</f>
        <v/>
      </c>
      <c r="E5" s="3">
        <v>27752</v>
      </c>
      <c r="F5" s="4">
        <v>9926259</v>
      </c>
      <c r="G5" s="5">
        <v>0</v>
      </c>
      <c r="H5" s="5">
        <v>9926259</v>
      </c>
      <c r="I5" s="1" t="str">
        <f>"292.81"</f>
        <v>292.81</v>
      </c>
      <c r="J5" s="1" t="str">
        <f t="shared" si="0"/>
        <v>㎡</v>
      </c>
    </row>
    <row r="6" spans="1:16384" ht="15.95" customHeight="1">
      <c r="A6" s="1" t="str">
        <f>"一般土地"</f>
        <v>一般土地</v>
      </c>
      <c r="B6" s="1" t="str">
        <f>"358020010001"</f>
        <v>358020010001</v>
      </c>
      <c r="C6" s="1" t="str">
        <f>"淡路広域消防事務組合　消防本部庁舎(消防ﾋﾞﾙ)用途"</f>
        <v>淡路広域消防事務組合　消防本部庁舎(消防ﾋﾞﾙ)用途</v>
      </c>
      <c r="D6" s="1" t="str">
        <f>""</f>
        <v/>
      </c>
      <c r="E6" s="3">
        <v>30713</v>
      </c>
      <c r="F6" s="4">
        <v>250428</v>
      </c>
      <c r="G6" s="5">
        <v>0</v>
      </c>
      <c r="H6" s="5">
        <v>250428</v>
      </c>
      <c r="I6" s="1" t="str">
        <f>"5.09"</f>
        <v>5.09</v>
      </c>
      <c r="J6" s="1" t="str">
        <f t="shared" si="0"/>
        <v>㎡</v>
      </c>
    </row>
    <row r="7" spans="1:16384" ht="15.95" customHeight="1">
      <c r="A7" s="1" t="str">
        <f>"一般土地"</f>
        <v>一般土地</v>
      </c>
      <c r="B7" s="1" t="str">
        <f>"408020010001"</f>
        <v>408020010001</v>
      </c>
      <c r="C7" s="1" t="str">
        <f>"淡路広域消防事務組合　消防本部庁舎(消防ﾋﾞﾙ)用途"</f>
        <v>淡路広域消防事務組合　消防本部庁舎(消防ﾋﾞﾙ)用途</v>
      </c>
      <c r="D7" s="1" t="str">
        <f>""</f>
        <v/>
      </c>
      <c r="E7" s="3">
        <v>35485</v>
      </c>
      <c r="F7" s="4">
        <v>1364316</v>
      </c>
      <c r="G7" s="5">
        <v>0</v>
      </c>
      <c r="H7" s="5">
        <v>1364316</v>
      </c>
      <c r="I7" s="1" t="str">
        <f>"27.73"</f>
        <v>27.73</v>
      </c>
      <c r="J7" s="1" t="str">
        <f t="shared" si="0"/>
        <v>㎡</v>
      </c>
    </row>
    <row r="8" spans="1:16384" ht="15.95" customHeight="1">
      <c r="A8" s="1" t="str">
        <f t="shared" ref="A8:A19" si="1">"建物"</f>
        <v>建物</v>
      </c>
      <c r="B8" s="1" t="str">
        <f>"348030010001"</f>
        <v>348030010001</v>
      </c>
      <c r="C8" s="1" t="str">
        <f>"淡路広域消防事務組合　岩屋分署"</f>
        <v>淡路広域消防事務組合　岩屋分署</v>
      </c>
      <c r="D8" s="1" t="str">
        <f>"50"</f>
        <v>50</v>
      </c>
      <c r="E8" s="3">
        <v>27119</v>
      </c>
      <c r="F8" s="4">
        <v>116600000</v>
      </c>
      <c r="G8" s="5">
        <v>104940000</v>
      </c>
      <c r="H8" s="5">
        <v>11660000</v>
      </c>
      <c r="I8" s="1" t="str">
        <f>"423.90"</f>
        <v>423.90</v>
      </c>
      <c r="J8" s="1" t="str">
        <f t="shared" si="0"/>
        <v>㎡</v>
      </c>
    </row>
    <row r="9" spans="1:16384" ht="15.95" customHeight="1">
      <c r="A9" s="1" t="str">
        <f t="shared" si="1"/>
        <v>建物</v>
      </c>
      <c r="B9" s="1" t="str">
        <f>"348030010002"</f>
        <v>348030010002</v>
      </c>
      <c r="C9" s="1" t="str">
        <f>"淡路広域消防事務組合　南淡分署"</f>
        <v>淡路広域消防事務組合　南淡分署</v>
      </c>
      <c r="D9" s="1" t="str">
        <f>"50"</f>
        <v>50</v>
      </c>
      <c r="E9" s="3">
        <v>27119</v>
      </c>
      <c r="F9" s="4">
        <v>173800000</v>
      </c>
      <c r="G9" s="5">
        <v>156420000</v>
      </c>
      <c r="H9" s="5">
        <v>17380000</v>
      </c>
      <c r="I9" s="1" t="str">
        <f>"632.66"</f>
        <v>632.66</v>
      </c>
      <c r="J9" s="1" t="str">
        <f t="shared" si="0"/>
        <v>㎡</v>
      </c>
    </row>
    <row r="10" spans="1:16384" ht="15.95" customHeight="1">
      <c r="A10" s="1" t="str">
        <f t="shared" si="1"/>
        <v>建物</v>
      </c>
      <c r="B10" s="1" t="str">
        <f>"349030010001"</f>
        <v>349030010001</v>
      </c>
      <c r="C10" s="1" t="str">
        <f>"淡路広域消防事務組合　北淡出張所"</f>
        <v>淡路広域消防事務組合　北淡出張所</v>
      </c>
      <c r="D10" s="1" t="str">
        <f>"50"</f>
        <v>50</v>
      </c>
      <c r="E10" s="3">
        <v>27484</v>
      </c>
      <c r="F10" s="4">
        <v>79750000</v>
      </c>
      <c r="G10" s="5">
        <v>70180000</v>
      </c>
      <c r="H10" s="5">
        <v>9570000</v>
      </c>
      <c r="I10" s="1" t="str">
        <f>"290.19"</f>
        <v>290.19</v>
      </c>
      <c r="J10" s="1" t="str">
        <f t="shared" si="0"/>
        <v>㎡</v>
      </c>
    </row>
    <row r="11" spans="1:16384" ht="15.95" customHeight="1">
      <c r="A11" s="1" t="str">
        <f t="shared" si="1"/>
        <v>建物</v>
      </c>
      <c r="B11" s="1" t="str">
        <f>"349030010002"</f>
        <v>349030010002</v>
      </c>
      <c r="C11" s="1" t="str">
        <f>"淡路広域消防事務組合　五色出張所"</f>
        <v>淡路広域消防事務組合　五色出張所</v>
      </c>
      <c r="D11" s="1" t="str">
        <f>"50"</f>
        <v>50</v>
      </c>
      <c r="E11" s="3">
        <v>27484</v>
      </c>
      <c r="F11" s="4">
        <v>75900000</v>
      </c>
      <c r="G11" s="5">
        <v>66792000</v>
      </c>
      <c r="H11" s="5">
        <v>9108000</v>
      </c>
      <c r="I11" s="1" t="str">
        <f>"276.00"</f>
        <v>276.00</v>
      </c>
      <c r="J11" s="1" t="str">
        <f t="shared" si="0"/>
        <v>㎡</v>
      </c>
    </row>
    <row r="12" spans="1:16384" ht="15.95" customHeight="1">
      <c r="A12" s="1" t="str">
        <f t="shared" si="1"/>
        <v>建物</v>
      </c>
      <c r="B12" s="1" t="str">
        <f>"350030010001"</f>
        <v>350030010001</v>
      </c>
      <c r="C12" s="1" t="str">
        <f>"淡路広域消防事務組合　西淡出張所"</f>
        <v>淡路広域消防事務組合　西淡出張所</v>
      </c>
      <c r="D12" s="1" t="str">
        <f>"50"</f>
        <v>50</v>
      </c>
      <c r="E12" s="3">
        <v>27850</v>
      </c>
      <c r="F12" s="4">
        <v>75625000</v>
      </c>
      <c r="G12" s="5">
        <v>65037500</v>
      </c>
      <c r="H12" s="5">
        <v>10587500</v>
      </c>
      <c r="I12" s="1" t="str">
        <f>"275.00"</f>
        <v>275.00</v>
      </c>
      <c r="J12" s="1" t="str">
        <f t="shared" si="0"/>
        <v>㎡</v>
      </c>
    </row>
    <row r="13" spans="1:16384" ht="15.95" customHeight="1">
      <c r="A13" s="1" t="str">
        <f t="shared" si="1"/>
        <v>建物</v>
      </c>
      <c r="B13" s="1" t="str">
        <f>"406090010001"</f>
        <v>406090010001</v>
      </c>
      <c r="C13" s="1" t="str">
        <f>"淡路広域消防事務組合　五色出張所　倉庫"</f>
        <v>淡路広域消防事務組合　五色出張所　倉庫</v>
      </c>
      <c r="D13" s="1" t="str">
        <f>"31"</f>
        <v>31</v>
      </c>
      <c r="E13" s="3">
        <v>34607</v>
      </c>
      <c r="F13" s="4">
        <v>2884000</v>
      </c>
      <c r="G13" s="5">
        <v>2284128</v>
      </c>
      <c r="H13" s="5">
        <v>599872</v>
      </c>
      <c r="I13" s="1" t="str">
        <f>"25.75"</f>
        <v>25.75</v>
      </c>
      <c r="J13" s="1" t="str">
        <f t="shared" si="0"/>
        <v>㎡</v>
      </c>
    </row>
    <row r="14" spans="1:16384" ht="15.95" customHeight="1">
      <c r="A14" s="1" t="str">
        <f t="shared" si="1"/>
        <v>建物</v>
      </c>
      <c r="B14" s="1" t="str">
        <f>"408030010001"</f>
        <v>408030010001</v>
      </c>
      <c r="C14" s="1" t="str">
        <f>"淡路広域消防事務組合　津名一宮分署"</f>
        <v>淡路広域消防事務組合　津名一宮分署</v>
      </c>
      <c r="D14" s="1" t="str">
        <f>"50"</f>
        <v>50</v>
      </c>
      <c r="E14" s="3">
        <v>35515</v>
      </c>
      <c r="F14" s="4">
        <v>132164000</v>
      </c>
      <c r="G14" s="5">
        <v>58152160</v>
      </c>
      <c r="H14" s="5">
        <v>74011840</v>
      </c>
      <c r="I14" s="1" t="str">
        <f>"405.94"</f>
        <v>405.94</v>
      </c>
      <c r="J14" s="1" t="str">
        <f t="shared" si="0"/>
        <v>㎡</v>
      </c>
    </row>
    <row r="15" spans="1:16384" ht="15.95" customHeight="1">
      <c r="A15" s="1" t="str">
        <f t="shared" si="1"/>
        <v>建物</v>
      </c>
      <c r="B15" s="1" t="str">
        <f>"417030010001"</f>
        <v>417030010001</v>
      </c>
      <c r="C15" s="1" t="str">
        <f>"訓練棟（Ａ棟）"</f>
        <v>訓練棟（Ａ棟）</v>
      </c>
      <c r="D15" s="1" t="str">
        <f>"31"</f>
        <v>31</v>
      </c>
      <c r="E15" s="3">
        <v>38807</v>
      </c>
      <c r="F15" s="4">
        <v>18370800</v>
      </c>
      <c r="G15" s="5">
        <v>7881072</v>
      </c>
      <c r="H15" s="5">
        <v>10489728</v>
      </c>
      <c r="I15" s="1" t="str">
        <f>"164.34"</f>
        <v>164.34</v>
      </c>
      <c r="J15" s="1" t="str">
        <f t="shared" si="0"/>
        <v>㎡</v>
      </c>
    </row>
    <row r="16" spans="1:16384" ht="15.95" customHeight="1">
      <c r="A16" s="1" t="str">
        <f t="shared" si="1"/>
        <v>建物</v>
      </c>
      <c r="B16" s="1" t="str">
        <f>"417030010002"</f>
        <v>417030010002</v>
      </c>
      <c r="C16" s="1" t="str">
        <f>"訓練棟（Ｂ棟）"</f>
        <v>訓練棟（Ｂ棟）</v>
      </c>
      <c r="D16" s="1" t="str">
        <f>"31"</f>
        <v>31</v>
      </c>
      <c r="E16" s="3">
        <v>38807</v>
      </c>
      <c r="F16" s="4">
        <v>6829200</v>
      </c>
      <c r="G16" s="5">
        <v>2929725</v>
      </c>
      <c r="H16" s="5">
        <v>3899475</v>
      </c>
      <c r="I16" s="1" t="str">
        <f>"61.11"</f>
        <v>61.11</v>
      </c>
      <c r="J16" s="1" t="str">
        <f t="shared" si="0"/>
        <v>㎡</v>
      </c>
    </row>
    <row r="17" spans="1:10" ht="15.95" customHeight="1">
      <c r="A17" s="1" t="str">
        <f t="shared" si="1"/>
        <v>建物</v>
      </c>
      <c r="B17" s="1" t="str">
        <f>"427030010001"</f>
        <v>427030010001</v>
      </c>
      <c r="C17" s="1" t="str">
        <f>"淡路広域消防事務組合　消防本部、洲本消防署"</f>
        <v>淡路広域消防事務組合　消防本部、洲本消防署</v>
      </c>
      <c r="D17" s="1" t="str">
        <f>"38"</f>
        <v>38</v>
      </c>
      <c r="E17" s="3">
        <v>42441</v>
      </c>
      <c r="F17" s="4">
        <v>941508000</v>
      </c>
      <c r="G17" s="5">
        <v>76262148</v>
      </c>
      <c r="H17" s="5">
        <v>865245852</v>
      </c>
      <c r="I17" s="1" t="str">
        <f>"4189.96"</f>
        <v>4189.96</v>
      </c>
      <c r="J17" s="1" t="str">
        <f t="shared" si="0"/>
        <v>㎡</v>
      </c>
    </row>
    <row r="18" spans="1:10" ht="15.95" customHeight="1">
      <c r="A18" s="1" t="str">
        <f t="shared" si="1"/>
        <v>建物</v>
      </c>
      <c r="B18" s="1" t="str">
        <f>"428020010002"</f>
        <v>428020010002</v>
      </c>
      <c r="C18" s="1" t="str">
        <f>"淡路広域消防事務組合　西淡出張所"</f>
        <v>淡路広域消防事務組合　西淡出張所</v>
      </c>
      <c r="D18" s="1" t="str">
        <f>"50"</f>
        <v>50</v>
      </c>
      <c r="E18" s="3">
        <v>42794</v>
      </c>
      <c r="F18" s="4">
        <v>1976400</v>
      </c>
      <c r="G18" s="5">
        <v>79056</v>
      </c>
      <c r="H18" s="5">
        <v>1897344</v>
      </c>
      <c r="I18" s="1" t="str">
        <f>"9.80"</f>
        <v>9.80</v>
      </c>
      <c r="J18" s="1" t="str">
        <f t="shared" si="0"/>
        <v>㎡</v>
      </c>
    </row>
    <row r="19" spans="1:10" ht="15.95" customHeight="1">
      <c r="A19" s="1" t="str">
        <f t="shared" si="1"/>
        <v>建物</v>
      </c>
      <c r="B19" s="1" t="str">
        <f>"430100010002"</f>
        <v>430100010002</v>
      </c>
      <c r="C19" s="1" t="str">
        <f>"五色出張所　車庫間口拡張改修工事"</f>
        <v>五色出張所　車庫間口拡張改修工事</v>
      </c>
      <c r="D19" s="1" t="str">
        <f>"50"</f>
        <v>50</v>
      </c>
      <c r="E19" s="3">
        <v>43375</v>
      </c>
      <c r="F19" s="4">
        <v>4040361</v>
      </c>
      <c r="G19" s="5">
        <v>0</v>
      </c>
      <c r="H19" s="5">
        <v>4040361</v>
      </c>
      <c r="I19" s="1" t="str">
        <f>""</f>
        <v/>
      </c>
      <c r="J19" s="1" t="str">
        <f>""</f>
        <v/>
      </c>
    </row>
    <row r="20" spans="1:10" ht="15.95" customHeight="1">
      <c r="A20" s="1" t="str">
        <f t="shared" ref="A20:A33" si="2">"その他工作物"</f>
        <v>その他工作物</v>
      </c>
      <c r="B20" s="1" t="str">
        <f>"414070010001"</f>
        <v>414070010001</v>
      </c>
      <c r="C20" s="1" t="str">
        <f>"パンザマスト"</f>
        <v>パンザマスト</v>
      </c>
      <c r="D20" s="1" t="str">
        <f>"40"</f>
        <v>40</v>
      </c>
      <c r="E20" s="3">
        <v>37454</v>
      </c>
      <c r="F20" s="4">
        <v>6086000</v>
      </c>
      <c r="G20" s="5">
        <v>2434400</v>
      </c>
      <c r="H20" s="5">
        <v>3651600</v>
      </c>
      <c r="I20" s="1" t="str">
        <f t="shared" ref="I20:I51" si="3">"1.00"</f>
        <v>1.00</v>
      </c>
      <c r="J20" s="1" t="str">
        <f>"棟"</f>
        <v>棟</v>
      </c>
    </row>
    <row r="21" spans="1:10" ht="15.95" customHeight="1">
      <c r="A21" s="1" t="str">
        <f t="shared" si="2"/>
        <v>その他工作物</v>
      </c>
      <c r="B21" s="1" t="str">
        <f>"415070010001"</f>
        <v>415070010001</v>
      </c>
      <c r="C21" s="1" t="str">
        <f>"パンザマスト"</f>
        <v>パンザマスト</v>
      </c>
      <c r="D21" s="1" t="str">
        <f>"40"</f>
        <v>40</v>
      </c>
      <c r="E21" s="3">
        <v>37809</v>
      </c>
      <c r="F21" s="4">
        <v>2268000</v>
      </c>
      <c r="G21" s="5">
        <v>850500</v>
      </c>
      <c r="H21" s="5">
        <v>1417500</v>
      </c>
      <c r="I21" s="1" t="str">
        <f t="shared" si="3"/>
        <v>1.00</v>
      </c>
      <c r="J21" s="1" t="str">
        <f>"棟"</f>
        <v>棟</v>
      </c>
    </row>
    <row r="22" spans="1:10" ht="15.95" customHeight="1">
      <c r="A22" s="1" t="str">
        <f t="shared" si="2"/>
        <v>その他工作物</v>
      </c>
      <c r="B22" s="1" t="str">
        <f>"416120010001"</f>
        <v>416120010001</v>
      </c>
      <c r="C22" s="1" t="str">
        <f>"ホースタワー"</f>
        <v>ホースタワー</v>
      </c>
      <c r="D22" s="1" t="str">
        <f>"60"</f>
        <v>60</v>
      </c>
      <c r="E22" s="3">
        <v>38341</v>
      </c>
      <c r="F22" s="4">
        <v>7472000</v>
      </c>
      <c r="G22" s="5">
        <v>1778336</v>
      </c>
      <c r="H22" s="5">
        <v>5693664</v>
      </c>
      <c r="I22" s="1" t="str">
        <f t="shared" si="3"/>
        <v>1.00</v>
      </c>
      <c r="J22" s="1" t="str">
        <f>"棟"</f>
        <v>棟</v>
      </c>
    </row>
    <row r="23" spans="1:10" ht="15.95" customHeight="1">
      <c r="A23" s="1" t="str">
        <f t="shared" si="2"/>
        <v>その他工作物</v>
      </c>
      <c r="B23" s="1" t="str">
        <f>"417120010001"</f>
        <v>417120010001</v>
      </c>
      <c r="C23" s="1" t="str">
        <f>"ホースタワー"</f>
        <v>ホースタワー</v>
      </c>
      <c r="D23" s="1" t="str">
        <f>"60"</f>
        <v>60</v>
      </c>
      <c r="E23" s="3">
        <v>38706</v>
      </c>
      <c r="F23" s="4">
        <v>13896000</v>
      </c>
      <c r="G23" s="5">
        <v>3071016</v>
      </c>
      <c r="H23" s="5">
        <v>10824984</v>
      </c>
      <c r="I23" s="1" t="str">
        <f t="shared" si="3"/>
        <v>1.00</v>
      </c>
      <c r="J23" s="1" t="str">
        <f>"棟"</f>
        <v>棟</v>
      </c>
    </row>
    <row r="24" spans="1:10" ht="15.95" customHeight="1">
      <c r="A24" s="1" t="str">
        <f t="shared" si="2"/>
        <v>その他工作物</v>
      </c>
      <c r="B24" s="1" t="str">
        <f>"418070010001"</f>
        <v>418070010001</v>
      </c>
      <c r="C24" s="1" t="str">
        <f>"パンザマスト"</f>
        <v>パンザマスト</v>
      </c>
      <c r="D24" s="1" t="str">
        <f>"40"</f>
        <v>40</v>
      </c>
      <c r="E24" s="3">
        <v>38927</v>
      </c>
      <c r="F24" s="4">
        <v>2730000</v>
      </c>
      <c r="G24" s="5">
        <v>819000</v>
      </c>
      <c r="H24" s="5">
        <v>1911000</v>
      </c>
      <c r="I24" s="1" t="str">
        <f t="shared" si="3"/>
        <v>1.00</v>
      </c>
      <c r="J24" s="1" t="str">
        <f>"棟"</f>
        <v>棟</v>
      </c>
    </row>
    <row r="25" spans="1:10" ht="15.95" customHeight="1">
      <c r="A25" s="1" t="str">
        <f t="shared" si="2"/>
        <v>その他工作物</v>
      </c>
      <c r="B25" s="1" t="str">
        <f>"426030010033"</f>
        <v>426030010033</v>
      </c>
      <c r="C25" s="1" t="str">
        <f t="shared" ref="C25:C32" si="4">"無線システム　基地局"</f>
        <v>無線システム　基地局</v>
      </c>
      <c r="D25" s="1" t="str">
        <f t="shared" ref="D25:D32" si="5">"10"</f>
        <v>10</v>
      </c>
      <c r="E25" s="3">
        <v>42072</v>
      </c>
      <c r="F25" s="4">
        <v>31376000</v>
      </c>
      <c r="G25" s="5">
        <v>12550400</v>
      </c>
      <c r="H25" s="5">
        <v>18825600</v>
      </c>
      <c r="I25" s="1" t="str">
        <f t="shared" si="3"/>
        <v>1.00</v>
      </c>
      <c r="J25" s="1" t="str">
        <f t="shared" ref="J25:J32" si="6">"台"</f>
        <v>台</v>
      </c>
    </row>
    <row r="26" spans="1:10" ht="15.95" customHeight="1">
      <c r="A26" s="1" t="str">
        <f t="shared" si="2"/>
        <v>その他工作物</v>
      </c>
      <c r="B26" s="1" t="str">
        <f>"426030010034"</f>
        <v>426030010034</v>
      </c>
      <c r="C26" s="1" t="str">
        <f t="shared" si="4"/>
        <v>無線システム　基地局</v>
      </c>
      <c r="D26" s="1" t="str">
        <f t="shared" si="5"/>
        <v>10</v>
      </c>
      <c r="E26" s="3">
        <v>42072</v>
      </c>
      <c r="F26" s="4">
        <v>34521900</v>
      </c>
      <c r="G26" s="5">
        <v>13808760</v>
      </c>
      <c r="H26" s="5">
        <v>20713140</v>
      </c>
      <c r="I26" s="1" t="str">
        <f t="shared" si="3"/>
        <v>1.00</v>
      </c>
      <c r="J26" s="1" t="str">
        <f t="shared" si="6"/>
        <v>台</v>
      </c>
    </row>
    <row r="27" spans="1:10" ht="15.95" customHeight="1">
      <c r="A27" s="1" t="str">
        <f t="shared" si="2"/>
        <v>その他工作物</v>
      </c>
      <c r="B27" s="1" t="str">
        <f>"426030010035"</f>
        <v>426030010035</v>
      </c>
      <c r="C27" s="1" t="str">
        <f t="shared" si="4"/>
        <v>無線システム　基地局</v>
      </c>
      <c r="D27" s="1" t="str">
        <f t="shared" si="5"/>
        <v>10</v>
      </c>
      <c r="E27" s="3">
        <v>42072</v>
      </c>
      <c r="F27" s="4">
        <v>28482900</v>
      </c>
      <c r="G27" s="5">
        <v>11393160</v>
      </c>
      <c r="H27" s="5">
        <v>17089740</v>
      </c>
      <c r="I27" s="1" t="str">
        <f t="shared" si="3"/>
        <v>1.00</v>
      </c>
      <c r="J27" s="1" t="str">
        <f t="shared" si="6"/>
        <v>台</v>
      </c>
    </row>
    <row r="28" spans="1:10" ht="15.95" customHeight="1">
      <c r="A28" s="1" t="str">
        <f t="shared" si="2"/>
        <v>その他工作物</v>
      </c>
      <c r="B28" s="1" t="str">
        <f>"426030010036"</f>
        <v>426030010036</v>
      </c>
      <c r="C28" s="1" t="str">
        <f t="shared" si="4"/>
        <v>無線システム　基地局</v>
      </c>
      <c r="D28" s="1" t="str">
        <f t="shared" si="5"/>
        <v>10</v>
      </c>
      <c r="E28" s="3">
        <v>42072</v>
      </c>
      <c r="F28" s="4">
        <v>28601700</v>
      </c>
      <c r="G28" s="5">
        <v>11440680</v>
      </c>
      <c r="H28" s="5">
        <v>17161020</v>
      </c>
      <c r="I28" s="1" t="str">
        <f t="shared" si="3"/>
        <v>1.00</v>
      </c>
      <c r="J28" s="1" t="str">
        <f t="shared" si="6"/>
        <v>台</v>
      </c>
    </row>
    <row r="29" spans="1:10" ht="15.95" customHeight="1">
      <c r="A29" s="1" t="str">
        <f t="shared" si="2"/>
        <v>その他工作物</v>
      </c>
      <c r="B29" s="1" t="str">
        <f>"426030010037"</f>
        <v>426030010037</v>
      </c>
      <c r="C29" s="1" t="str">
        <f t="shared" si="4"/>
        <v>無線システム　基地局</v>
      </c>
      <c r="D29" s="1" t="str">
        <f t="shared" si="5"/>
        <v>10</v>
      </c>
      <c r="E29" s="3">
        <v>42072</v>
      </c>
      <c r="F29" s="4">
        <v>32392900</v>
      </c>
      <c r="G29" s="5">
        <v>12957160</v>
      </c>
      <c r="H29" s="5">
        <v>19435740</v>
      </c>
      <c r="I29" s="1" t="str">
        <f t="shared" si="3"/>
        <v>1.00</v>
      </c>
      <c r="J29" s="1" t="str">
        <f t="shared" si="6"/>
        <v>台</v>
      </c>
    </row>
    <row r="30" spans="1:10" ht="15.95" customHeight="1">
      <c r="A30" s="1" t="str">
        <f t="shared" si="2"/>
        <v>その他工作物</v>
      </c>
      <c r="B30" s="1" t="str">
        <f>"426030010038"</f>
        <v>426030010038</v>
      </c>
      <c r="C30" s="1" t="str">
        <f t="shared" si="4"/>
        <v>無線システム　基地局</v>
      </c>
      <c r="D30" s="1" t="str">
        <f t="shared" si="5"/>
        <v>10</v>
      </c>
      <c r="E30" s="3">
        <v>42072</v>
      </c>
      <c r="F30" s="4">
        <v>17812900</v>
      </c>
      <c r="G30" s="5">
        <v>7125160</v>
      </c>
      <c r="H30" s="5">
        <v>10687740</v>
      </c>
      <c r="I30" s="1" t="str">
        <f t="shared" si="3"/>
        <v>1.00</v>
      </c>
      <c r="J30" s="1" t="str">
        <f t="shared" si="6"/>
        <v>台</v>
      </c>
    </row>
    <row r="31" spans="1:10" ht="15.95" customHeight="1">
      <c r="A31" s="1" t="str">
        <f t="shared" si="2"/>
        <v>その他工作物</v>
      </c>
      <c r="B31" s="1" t="str">
        <f>"426030010039"</f>
        <v>426030010039</v>
      </c>
      <c r="C31" s="1" t="str">
        <f t="shared" si="4"/>
        <v>無線システム　基地局</v>
      </c>
      <c r="D31" s="1" t="str">
        <f t="shared" si="5"/>
        <v>10</v>
      </c>
      <c r="E31" s="3">
        <v>42072</v>
      </c>
      <c r="F31" s="4">
        <v>22076900</v>
      </c>
      <c r="G31" s="5">
        <v>8830760</v>
      </c>
      <c r="H31" s="5">
        <v>13246140</v>
      </c>
      <c r="I31" s="1" t="str">
        <f t="shared" si="3"/>
        <v>1.00</v>
      </c>
      <c r="J31" s="1" t="str">
        <f t="shared" si="6"/>
        <v>台</v>
      </c>
    </row>
    <row r="32" spans="1:10" ht="15.95" customHeight="1">
      <c r="A32" s="1" t="str">
        <f t="shared" si="2"/>
        <v>その他工作物</v>
      </c>
      <c r="B32" s="1" t="str">
        <f>"426030010040"</f>
        <v>426030010040</v>
      </c>
      <c r="C32" s="1" t="str">
        <f t="shared" si="4"/>
        <v>無線システム　基地局</v>
      </c>
      <c r="D32" s="1" t="str">
        <f t="shared" si="5"/>
        <v>10</v>
      </c>
      <c r="E32" s="3">
        <v>42072</v>
      </c>
      <c r="F32" s="4">
        <v>22076900</v>
      </c>
      <c r="G32" s="5">
        <v>8830760</v>
      </c>
      <c r="H32" s="5">
        <v>13246140</v>
      </c>
      <c r="I32" s="1" t="str">
        <f t="shared" si="3"/>
        <v>1.00</v>
      </c>
      <c r="J32" s="1" t="str">
        <f t="shared" si="6"/>
        <v>台</v>
      </c>
    </row>
    <row r="33" spans="1:10" ht="15.95" customHeight="1">
      <c r="A33" s="1" t="str">
        <f t="shared" si="2"/>
        <v>その他工作物</v>
      </c>
      <c r="B33" s="1" t="str">
        <f>"427030010002"</f>
        <v>427030010002</v>
      </c>
      <c r="C33" s="1" t="str">
        <f>"太陽光発電設備"</f>
        <v>太陽光発電設備</v>
      </c>
      <c r="D33" s="1" t="str">
        <f>"36"</f>
        <v>36</v>
      </c>
      <c r="E33" s="3">
        <v>42441</v>
      </c>
      <c r="F33" s="4">
        <v>22680000</v>
      </c>
      <c r="G33" s="5">
        <v>1905120</v>
      </c>
      <c r="H33" s="5">
        <v>20774880</v>
      </c>
      <c r="I33" s="1" t="str">
        <f t="shared" si="3"/>
        <v>1.00</v>
      </c>
      <c r="J33" s="1" t="str">
        <f>"棟"</f>
        <v>棟</v>
      </c>
    </row>
    <row r="34" spans="1:10" ht="15.95" customHeight="1">
      <c r="A34" s="1" t="str">
        <f t="shared" ref="A34:A65" si="7">"物品"</f>
        <v>物品</v>
      </c>
      <c r="B34" s="1" t="str">
        <f>"406110010001"</f>
        <v>406110010001</v>
      </c>
      <c r="C34" s="1" t="str">
        <f>"ポンプ自動車"</f>
        <v>ポンプ自動車</v>
      </c>
      <c r="D34" s="1" t="str">
        <f>"5"</f>
        <v>5</v>
      </c>
      <c r="E34" s="3">
        <v>34655</v>
      </c>
      <c r="F34" s="4">
        <v>27707000</v>
      </c>
      <c r="G34" s="5">
        <v>27706999</v>
      </c>
      <c r="H34" s="5">
        <v>1</v>
      </c>
      <c r="I34" s="1" t="str">
        <f t="shared" si="3"/>
        <v>1.00</v>
      </c>
      <c r="J34" s="1" t="str">
        <f t="shared" ref="J34:J39" si="8">"台"</f>
        <v>台</v>
      </c>
    </row>
    <row r="35" spans="1:10" ht="15.95" customHeight="1">
      <c r="A35" s="1" t="str">
        <f t="shared" si="7"/>
        <v>物品</v>
      </c>
      <c r="B35" s="1" t="str">
        <f>"406110010002"</f>
        <v>406110010002</v>
      </c>
      <c r="C35" s="1" t="str">
        <f>"可搬式小型ポンプ"</f>
        <v>可搬式小型ポンプ</v>
      </c>
      <c r="D35" s="1" t="str">
        <f>"22"</f>
        <v>22</v>
      </c>
      <c r="E35" s="3">
        <v>34640</v>
      </c>
      <c r="F35" s="4">
        <v>998000</v>
      </c>
      <c r="G35" s="5">
        <v>997999</v>
      </c>
      <c r="H35" s="5">
        <v>1</v>
      </c>
      <c r="I35" s="1" t="str">
        <f t="shared" si="3"/>
        <v>1.00</v>
      </c>
      <c r="J35" s="1" t="str">
        <f t="shared" si="8"/>
        <v>台</v>
      </c>
    </row>
    <row r="36" spans="1:10" ht="15.95" customHeight="1">
      <c r="A36" s="1" t="str">
        <f t="shared" si="7"/>
        <v>物品</v>
      </c>
      <c r="B36" s="1" t="str">
        <f>"408110010001"</f>
        <v>408110010001</v>
      </c>
      <c r="C36" s="1" t="str">
        <f>"可搬式小型ポンプ"</f>
        <v>可搬式小型ポンプ</v>
      </c>
      <c r="D36" s="1" t="str">
        <f>"20"</f>
        <v>20</v>
      </c>
      <c r="E36" s="3">
        <v>35377</v>
      </c>
      <c r="F36" s="4">
        <v>562000</v>
      </c>
      <c r="G36" s="5">
        <v>561999</v>
      </c>
      <c r="H36" s="5">
        <v>1</v>
      </c>
      <c r="I36" s="1" t="str">
        <f t="shared" si="3"/>
        <v>1.00</v>
      </c>
      <c r="J36" s="1" t="str">
        <f t="shared" si="8"/>
        <v>台</v>
      </c>
    </row>
    <row r="37" spans="1:10" ht="15.95" customHeight="1">
      <c r="A37" s="1" t="str">
        <f t="shared" si="7"/>
        <v>物品</v>
      </c>
      <c r="B37" s="1" t="str">
        <f>"410030010001"</f>
        <v>410030010001</v>
      </c>
      <c r="C37" s="1" t="str">
        <f>"冷暖房機"</f>
        <v>冷暖房機</v>
      </c>
      <c r="D37" s="1" t="str">
        <f>"6"</f>
        <v>6</v>
      </c>
      <c r="E37" s="3">
        <v>36238</v>
      </c>
      <c r="F37" s="4">
        <v>725240</v>
      </c>
      <c r="G37" s="5">
        <v>725239</v>
      </c>
      <c r="H37" s="5">
        <v>1</v>
      </c>
      <c r="I37" s="1" t="str">
        <f t="shared" si="3"/>
        <v>1.00</v>
      </c>
      <c r="J37" s="1" t="str">
        <f t="shared" si="8"/>
        <v>台</v>
      </c>
    </row>
    <row r="38" spans="1:10" ht="15.95" customHeight="1">
      <c r="A38" s="1" t="str">
        <f t="shared" si="7"/>
        <v>物品</v>
      </c>
      <c r="B38" s="1" t="str">
        <f>"410030010002"</f>
        <v>410030010002</v>
      </c>
      <c r="C38" s="1" t="str">
        <f>"冷暖房機"</f>
        <v>冷暖房機</v>
      </c>
      <c r="D38" s="1" t="str">
        <f>"6"</f>
        <v>6</v>
      </c>
      <c r="E38" s="3">
        <v>36238</v>
      </c>
      <c r="F38" s="4">
        <v>570250</v>
      </c>
      <c r="G38" s="5">
        <v>570249</v>
      </c>
      <c r="H38" s="5">
        <v>1</v>
      </c>
      <c r="I38" s="1" t="str">
        <f t="shared" si="3"/>
        <v>1.00</v>
      </c>
      <c r="J38" s="1" t="str">
        <f t="shared" si="8"/>
        <v>台</v>
      </c>
    </row>
    <row r="39" spans="1:10" ht="15.95" customHeight="1">
      <c r="A39" s="1" t="str">
        <f t="shared" si="7"/>
        <v>物品</v>
      </c>
      <c r="B39" s="1" t="str">
        <f>"411030010001"</f>
        <v>411030010001</v>
      </c>
      <c r="C39" s="1" t="str">
        <f>"起重機"</f>
        <v>起重機</v>
      </c>
      <c r="D39" s="1" t="str">
        <f>"16"</f>
        <v>16</v>
      </c>
      <c r="E39" s="3">
        <v>36598</v>
      </c>
      <c r="F39" s="4">
        <v>672000</v>
      </c>
      <c r="G39" s="5">
        <v>671999</v>
      </c>
      <c r="H39" s="5">
        <v>1</v>
      </c>
      <c r="I39" s="1" t="str">
        <f t="shared" si="3"/>
        <v>1.00</v>
      </c>
      <c r="J39" s="1" t="str">
        <f t="shared" si="8"/>
        <v>台</v>
      </c>
    </row>
    <row r="40" spans="1:10" ht="15.95" customHeight="1">
      <c r="A40" s="1" t="str">
        <f t="shared" si="7"/>
        <v>物品</v>
      </c>
      <c r="B40" s="1" t="str">
        <f>"413020010001"</f>
        <v>413020010001</v>
      </c>
      <c r="C40" s="1" t="str">
        <f>"テント"</f>
        <v>テント</v>
      </c>
      <c r="D40" s="1" t="str">
        <f>"14"</f>
        <v>14</v>
      </c>
      <c r="E40" s="3">
        <v>37302</v>
      </c>
      <c r="F40" s="4">
        <v>1365000</v>
      </c>
      <c r="G40" s="5">
        <v>1364999</v>
      </c>
      <c r="H40" s="5">
        <v>1</v>
      </c>
      <c r="I40" s="1" t="str">
        <f t="shared" si="3"/>
        <v>1.00</v>
      </c>
      <c r="J40" s="1" t="str">
        <f>"個"</f>
        <v>個</v>
      </c>
    </row>
    <row r="41" spans="1:10" ht="15.95" customHeight="1">
      <c r="A41" s="1" t="str">
        <f t="shared" si="7"/>
        <v>物品</v>
      </c>
      <c r="B41" s="1" t="str">
        <f>"413030010001"</f>
        <v>413030010001</v>
      </c>
      <c r="C41" s="1" t="str">
        <f>"消防ホース洗浄機"</f>
        <v>消防ホース洗浄機</v>
      </c>
      <c r="D41" s="1" t="str">
        <f>"10"</f>
        <v>10</v>
      </c>
      <c r="E41" s="3">
        <v>37340</v>
      </c>
      <c r="F41" s="4">
        <v>3035000</v>
      </c>
      <c r="G41" s="5">
        <v>3034999</v>
      </c>
      <c r="H41" s="5">
        <v>1</v>
      </c>
      <c r="I41" s="1" t="str">
        <f t="shared" si="3"/>
        <v>1.00</v>
      </c>
      <c r="J41" s="1" t="str">
        <f t="shared" ref="J41:J48" si="9">"台"</f>
        <v>台</v>
      </c>
    </row>
    <row r="42" spans="1:10" ht="15.95" customHeight="1">
      <c r="A42" s="1" t="str">
        <f t="shared" si="7"/>
        <v>物品</v>
      </c>
      <c r="B42" s="1" t="str">
        <f>"413110010001"</f>
        <v>413110010001</v>
      </c>
      <c r="C42" s="1" t="str">
        <f>"消防ポンプ自動車"</f>
        <v>消防ポンプ自動車</v>
      </c>
      <c r="D42" s="1" t="str">
        <f>"5"</f>
        <v>5</v>
      </c>
      <c r="E42" s="3">
        <v>37215</v>
      </c>
      <c r="F42" s="4">
        <v>21924000</v>
      </c>
      <c r="G42" s="5">
        <v>21923999</v>
      </c>
      <c r="H42" s="5">
        <v>1</v>
      </c>
      <c r="I42" s="1" t="str">
        <f t="shared" si="3"/>
        <v>1.00</v>
      </c>
      <c r="J42" s="1" t="str">
        <f t="shared" si="9"/>
        <v>台</v>
      </c>
    </row>
    <row r="43" spans="1:10" ht="15.95" customHeight="1">
      <c r="A43" s="1" t="str">
        <f t="shared" si="7"/>
        <v>物品</v>
      </c>
      <c r="B43" s="1" t="str">
        <f>"413110010002"</f>
        <v>413110010002</v>
      </c>
      <c r="C43" s="1" t="str">
        <f>"消防ポンプ自動車"</f>
        <v>消防ポンプ自動車</v>
      </c>
      <c r="D43" s="1" t="str">
        <f>"5"</f>
        <v>5</v>
      </c>
      <c r="E43" s="3">
        <v>37215</v>
      </c>
      <c r="F43" s="4">
        <v>21924000</v>
      </c>
      <c r="G43" s="5">
        <v>21923999</v>
      </c>
      <c r="H43" s="5">
        <v>1</v>
      </c>
      <c r="I43" s="1" t="str">
        <f t="shared" si="3"/>
        <v>1.00</v>
      </c>
      <c r="J43" s="1" t="str">
        <f t="shared" si="9"/>
        <v>台</v>
      </c>
    </row>
    <row r="44" spans="1:10" ht="15.95" customHeight="1">
      <c r="A44" s="1" t="str">
        <f t="shared" si="7"/>
        <v>物品</v>
      </c>
      <c r="B44" s="1" t="str">
        <f>"413110010004"</f>
        <v>413110010004</v>
      </c>
      <c r="C44" s="1" t="str">
        <f>"冷暖房機"</f>
        <v>冷暖房機</v>
      </c>
      <c r="D44" s="1" t="str">
        <f>"6"</f>
        <v>6</v>
      </c>
      <c r="E44" s="3">
        <v>37211</v>
      </c>
      <c r="F44" s="4">
        <v>712000</v>
      </c>
      <c r="G44" s="5">
        <v>711999</v>
      </c>
      <c r="H44" s="5">
        <v>1</v>
      </c>
      <c r="I44" s="1" t="str">
        <f t="shared" si="3"/>
        <v>1.00</v>
      </c>
      <c r="J44" s="1" t="str">
        <f t="shared" si="9"/>
        <v>台</v>
      </c>
    </row>
    <row r="45" spans="1:10" ht="15.95" customHeight="1">
      <c r="A45" s="1" t="str">
        <f t="shared" si="7"/>
        <v>物品</v>
      </c>
      <c r="B45" s="1" t="str">
        <f>"414010010001"</f>
        <v>414010010001</v>
      </c>
      <c r="C45" s="1" t="str">
        <f>"査察車"</f>
        <v>査察車</v>
      </c>
      <c r="D45" s="1" t="str">
        <f>"5"</f>
        <v>5</v>
      </c>
      <c r="E45" s="3">
        <v>37651</v>
      </c>
      <c r="F45" s="4">
        <v>2611812</v>
      </c>
      <c r="G45" s="5">
        <v>2611811</v>
      </c>
      <c r="H45" s="5">
        <v>1</v>
      </c>
      <c r="I45" s="1" t="str">
        <f t="shared" si="3"/>
        <v>1.00</v>
      </c>
      <c r="J45" s="1" t="str">
        <f t="shared" si="9"/>
        <v>台</v>
      </c>
    </row>
    <row r="46" spans="1:10" ht="15.95" customHeight="1">
      <c r="A46" s="1" t="str">
        <f t="shared" si="7"/>
        <v>物品</v>
      </c>
      <c r="B46" s="1" t="str">
        <f>"414110010001"</f>
        <v>414110010001</v>
      </c>
      <c r="C46" s="1" t="str">
        <f>"消防ポンプ自動車"</f>
        <v>消防ポンプ自動車</v>
      </c>
      <c r="D46" s="1" t="str">
        <f>"5"</f>
        <v>5</v>
      </c>
      <c r="E46" s="3">
        <v>37568</v>
      </c>
      <c r="F46" s="4">
        <v>23573000</v>
      </c>
      <c r="G46" s="5">
        <v>23572999</v>
      </c>
      <c r="H46" s="5">
        <v>1</v>
      </c>
      <c r="I46" s="1" t="str">
        <f t="shared" si="3"/>
        <v>1.00</v>
      </c>
      <c r="J46" s="1" t="str">
        <f t="shared" si="9"/>
        <v>台</v>
      </c>
    </row>
    <row r="47" spans="1:10" ht="15.95" customHeight="1">
      <c r="A47" s="1" t="str">
        <f t="shared" si="7"/>
        <v>物品</v>
      </c>
      <c r="B47" s="1" t="str">
        <f>"414110010002"</f>
        <v>414110010002</v>
      </c>
      <c r="C47" s="1" t="str">
        <f>"水槽付消防ポンプ自動車"</f>
        <v>水槽付消防ポンプ自動車</v>
      </c>
      <c r="D47" s="1" t="str">
        <f>"5"</f>
        <v>5</v>
      </c>
      <c r="E47" s="3">
        <v>37573</v>
      </c>
      <c r="F47" s="4">
        <v>32760000</v>
      </c>
      <c r="G47" s="5">
        <v>32759999</v>
      </c>
      <c r="H47" s="5">
        <v>1</v>
      </c>
      <c r="I47" s="1" t="str">
        <f t="shared" si="3"/>
        <v>1.00</v>
      </c>
      <c r="J47" s="1" t="str">
        <f t="shared" si="9"/>
        <v>台</v>
      </c>
    </row>
    <row r="48" spans="1:10" ht="15.95" customHeight="1">
      <c r="A48" s="1" t="str">
        <f t="shared" si="7"/>
        <v>物品</v>
      </c>
      <c r="B48" s="1" t="str">
        <f>"415020010001"</f>
        <v>415020010001</v>
      </c>
      <c r="C48" s="1" t="str">
        <f>"警防車"</f>
        <v>警防車</v>
      </c>
      <c r="D48" s="1" t="str">
        <f>"5"</f>
        <v>5</v>
      </c>
      <c r="E48" s="3">
        <v>38034</v>
      </c>
      <c r="F48" s="4">
        <v>3349920</v>
      </c>
      <c r="G48" s="5">
        <v>3349919</v>
      </c>
      <c r="H48" s="5">
        <v>1</v>
      </c>
      <c r="I48" s="1" t="str">
        <f t="shared" si="3"/>
        <v>1.00</v>
      </c>
      <c r="J48" s="1" t="str">
        <f t="shared" si="9"/>
        <v>台</v>
      </c>
    </row>
    <row r="49" spans="1:10" ht="15.95" customHeight="1">
      <c r="A49" s="1" t="str">
        <f t="shared" si="7"/>
        <v>物品</v>
      </c>
      <c r="B49" s="1" t="str">
        <f>"415070010002"</f>
        <v>415070010002</v>
      </c>
      <c r="C49" s="1" t="str">
        <f>"滅菌器"</f>
        <v>滅菌器</v>
      </c>
      <c r="D49" s="1" t="str">
        <f>"4"</f>
        <v>4</v>
      </c>
      <c r="E49" s="3">
        <v>37804</v>
      </c>
      <c r="F49" s="4">
        <v>567000</v>
      </c>
      <c r="G49" s="5">
        <v>566999</v>
      </c>
      <c r="H49" s="5">
        <v>1</v>
      </c>
      <c r="I49" s="1" t="str">
        <f t="shared" si="3"/>
        <v>1.00</v>
      </c>
      <c r="J49" s="1" t="str">
        <f>"個"</f>
        <v>個</v>
      </c>
    </row>
    <row r="50" spans="1:10" ht="15.95" customHeight="1">
      <c r="A50" s="1" t="str">
        <f t="shared" si="7"/>
        <v>物品</v>
      </c>
      <c r="B50" s="1" t="str">
        <f>"415070010003"</f>
        <v>415070010003</v>
      </c>
      <c r="C50" s="1" t="str">
        <f>"可搬式小型ポンプ"</f>
        <v>可搬式小型ポンプ</v>
      </c>
      <c r="D50" s="1" t="str">
        <f>"13"</f>
        <v>13</v>
      </c>
      <c r="E50" s="3">
        <v>37811</v>
      </c>
      <c r="F50" s="4">
        <v>672000</v>
      </c>
      <c r="G50" s="5">
        <v>671999</v>
      </c>
      <c r="H50" s="5">
        <v>1</v>
      </c>
      <c r="I50" s="1" t="str">
        <f t="shared" si="3"/>
        <v>1.00</v>
      </c>
      <c r="J50" s="1" t="str">
        <f t="shared" ref="J50:J60" si="10">"台"</f>
        <v>台</v>
      </c>
    </row>
    <row r="51" spans="1:10" ht="15.95" customHeight="1">
      <c r="A51" s="1" t="str">
        <f t="shared" si="7"/>
        <v>物品</v>
      </c>
      <c r="B51" s="1" t="str">
        <f>"415100010001"</f>
        <v>415100010001</v>
      </c>
      <c r="C51" s="1" t="str">
        <f>"小型動力ポンプ付積載車"</f>
        <v>小型動力ポンプ付積載車</v>
      </c>
      <c r="D51" s="1" t="str">
        <f>"5"</f>
        <v>5</v>
      </c>
      <c r="E51" s="3">
        <v>37921</v>
      </c>
      <c r="F51" s="4">
        <v>7140000</v>
      </c>
      <c r="G51" s="5">
        <v>7139999</v>
      </c>
      <c r="H51" s="5">
        <v>1</v>
      </c>
      <c r="I51" s="1" t="str">
        <f t="shared" si="3"/>
        <v>1.00</v>
      </c>
      <c r="J51" s="1" t="str">
        <f t="shared" si="10"/>
        <v>台</v>
      </c>
    </row>
    <row r="52" spans="1:10" ht="15.95" customHeight="1">
      <c r="A52" s="1" t="str">
        <f t="shared" si="7"/>
        <v>物品</v>
      </c>
      <c r="B52" s="1" t="str">
        <f>"415110010001"</f>
        <v>415110010001</v>
      </c>
      <c r="C52" s="1" t="str">
        <f>"指揮車"</f>
        <v>指揮車</v>
      </c>
      <c r="D52" s="1" t="str">
        <f>"5"</f>
        <v>5</v>
      </c>
      <c r="E52" s="3">
        <v>37932</v>
      </c>
      <c r="F52" s="4">
        <v>3000000</v>
      </c>
      <c r="G52" s="5">
        <v>2999999</v>
      </c>
      <c r="H52" s="5">
        <v>1</v>
      </c>
      <c r="I52" s="1" t="str">
        <f t="shared" ref="I52:I83" si="11">"1.00"</f>
        <v>1.00</v>
      </c>
      <c r="J52" s="1" t="str">
        <f t="shared" si="10"/>
        <v>台</v>
      </c>
    </row>
    <row r="53" spans="1:10" ht="15.95" customHeight="1">
      <c r="A53" s="1" t="str">
        <f t="shared" si="7"/>
        <v>物品</v>
      </c>
      <c r="B53" s="1" t="str">
        <f>"415120010001"</f>
        <v>415120010001</v>
      </c>
      <c r="C53" s="1" t="str">
        <f>"夜間暗視装置"</f>
        <v>夜間暗視装置</v>
      </c>
      <c r="D53" s="1" t="str">
        <f>"13"</f>
        <v>13</v>
      </c>
      <c r="E53" s="3">
        <v>37980</v>
      </c>
      <c r="F53" s="4">
        <v>504000</v>
      </c>
      <c r="G53" s="5">
        <v>503999</v>
      </c>
      <c r="H53" s="5">
        <v>1</v>
      </c>
      <c r="I53" s="1" t="str">
        <f t="shared" si="11"/>
        <v>1.00</v>
      </c>
      <c r="J53" s="1" t="str">
        <f t="shared" si="10"/>
        <v>台</v>
      </c>
    </row>
    <row r="54" spans="1:10" ht="15.95" customHeight="1">
      <c r="A54" s="1" t="str">
        <f t="shared" si="7"/>
        <v>物品</v>
      </c>
      <c r="B54" s="1" t="str">
        <f>"416060010001"</f>
        <v>416060010001</v>
      </c>
      <c r="C54" s="1" t="str">
        <f>"支援車"</f>
        <v>支援車</v>
      </c>
      <c r="D54" s="1" t="str">
        <f>"5"</f>
        <v>5</v>
      </c>
      <c r="E54" s="3">
        <v>38168</v>
      </c>
      <c r="F54" s="4">
        <v>3381058</v>
      </c>
      <c r="G54" s="5">
        <v>3381057</v>
      </c>
      <c r="H54" s="5">
        <v>1</v>
      </c>
      <c r="I54" s="1" t="str">
        <f t="shared" si="11"/>
        <v>1.00</v>
      </c>
      <c r="J54" s="1" t="str">
        <f t="shared" si="10"/>
        <v>台</v>
      </c>
    </row>
    <row r="55" spans="1:10" ht="15.95" customHeight="1">
      <c r="A55" s="1" t="str">
        <f t="shared" si="7"/>
        <v>物品</v>
      </c>
      <c r="B55" s="1" t="str">
        <f>"416060010002"</f>
        <v>416060010002</v>
      </c>
      <c r="C55" s="1" t="str">
        <f>"予防連絡車（その他）"</f>
        <v>予防連絡車（その他）</v>
      </c>
      <c r="D55" s="1" t="str">
        <f>"6"</f>
        <v>6</v>
      </c>
      <c r="E55" s="3">
        <v>38161</v>
      </c>
      <c r="F55" s="4">
        <v>3000000</v>
      </c>
      <c r="G55" s="5">
        <v>2999999</v>
      </c>
      <c r="H55" s="5">
        <v>1</v>
      </c>
      <c r="I55" s="1" t="str">
        <f t="shared" si="11"/>
        <v>1.00</v>
      </c>
      <c r="J55" s="1" t="str">
        <f t="shared" si="10"/>
        <v>台</v>
      </c>
    </row>
    <row r="56" spans="1:10" ht="15.95" customHeight="1">
      <c r="A56" s="1" t="str">
        <f t="shared" si="7"/>
        <v>物品</v>
      </c>
      <c r="B56" s="1" t="str">
        <f>"416110010001"</f>
        <v>416110010001</v>
      </c>
      <c r="C56" s="1" t="str">
        <f>"はしご付消防自動車"</f>
        <v>はしご付消防自動車</v>
      </c>
      <c r="D56" s="1" t="str">
        <f>"5"</f>
        <v>5</v>
      </c>
      <c r="E56" s="3">
        <v>38321</v>
      </c>
      <c r="F56" s="4">
        <v>157500000</v>
      </c>
      <c r="G56" s="5">
        <v>157499999</v>
      </c>
      <c r="H56" s="5">
        <v>1</v>
      </c>
      <c r="I56" s="1" t="str">
        <f t="shared" si="11"/>
        <v>1.00</v>
      </c>
      <c r="J56" s="1" t="str">
        <f t="shared" si="10"/>
        <v>台</v>
      </c>
    </row>
    <row r="57" spans="1:10" ht="15.95" customHeight="1">
      <c r="A57" s="1" t="str">
        <f t="shared" si="7"/>
        <v>物品</v>
      </c>
      <c r="B57" s="1" t="str">
        <f>"417050010001"</f>
        <v>417050010001</v>
      </c>
      <c r="C57" s="1" t="str">
        <f>"総務連絡車（その他）"</f>
        <v>総務連絡車（その他）</v>
      </c>
      <c r="D57" s="1" t="str">
        <f>"6"</f>
        <v>6</v>
      </c>
      <c r="E57" s="3">
        <v>38492</v>
      </c>
      <c r="F57" s="4">
        <v>2900000</v>
      </c>
      <c r="G57" s="5">
        <v>2899999</v>
      </c>
      <c r="H57" s="5">
        <v>1</v>
      </c>
      <c r="I57" s="1" t="str">
        <f t="shared" si="11"/>
        <v>1.00</v>
      </c>
      <c r="J57" s="1" t="str">
        <f t="shared" si="10"/>
        <v>台</v>
      </c>
    </row>
    <row r="58" spans="1:10" ht="15.95" customHeight="1">
      <c r="A58" s="1" t="str">
        <f t="shared" si="7"/>
        <v>物品</v>
      </c>
      <c r="B58" s="1" t="str">
        <f>"418020010001"</f>
        <v>418020010001</v>
      </c>
      <c r="C58" s="1" t="str">
        <f>"積載車（連絡車）"</f>
        <v>積載車（連絡車）</v>
      </c>
      <c r="D58" s="1" t="str">
        <f>"4"</f>
        <v>4</v>
      </c>
      <c r="E58" s="3">
        <v>39136</v>
      </c>
      <c r="F58" s="4">
        <v>1091895</v>
      </c>
      <c r="G58" s="5">
        <v>1091894</v>
      </c>
      <c r="H58" s="5">
        <v>1</v>
      </c>
      <c r="I58" s="1" t="str">
        <f t="shared" si="11"/>
        <v>1.00</v>
      </c>
      <c r="J58" s="1" t="str">
        <f t="shared" si="10"/>
        <v>台</v>
      </c>
    </row>
    <row r="59" spans="1:10" ht="15.95" customHeight="1">
      <c r="A59" s="1" t="str">
        <f t="shared" si="7"/>
        <v>物品</v>
      </c>
      <c r="B59" s="1" t="str">
        <f>"418020010002"</f>
        <v>418020010002</v>
      </c>
      <c r="C59" s="1" t="str">
        <f>"積載車（連絡車）"</f>
        <v>積載車（連絡車）</v>
      </c>
      <c r="D59" s="1" t="str">
        <f>"4"</f>
        <v>4</v>
      </c>
      <c r="E59" s="3">
        <v>39136</v>
      </c>
      <c r="F59" s="4">
        <v>1091895</v>
      </c>
      <c r="G59" s="5">
        <v>1091894</v>
      </c>
      <c r="H59" s="5">
        <v>1</v>
      </c>
      <c r="I59" s="1" t="str">
        <f t="shared" si="11"/>
        <v>1.00</v>
      </c>
      <c r="J59" s="1" t="str">
        <f t="shared" si="10"/>
        <v>台</v>
      </c>
    </row>
    <row r="60" spans="1:10" ht="15.95" customHeight="1">
      <c r="A60" s="1" t="str">
        <f t="shared" si="7"/>
        <v>物品</v>
      </c>
      <c r="B60" s="1" t="str">
        <f>"418020010003"</f>
        <v>418020010003</v>
      </c>
      <c r="C60" s="1" t="str">
        <f>"積載車（連絡車）"</f>
        <v>積載車（連絡車）</v>
      </c>
      <c r="D60" s="1" t="str">
        <f>"4"</f>
        <v>4</v>
      </c>
      <c r="E60" s="3">
        <v>39136</v>
      </c>
      <c r="F60" s="4">
        <v>1091895</v>
      </c>
      <c r="G60" s="5">
        <v>1091894</v>
      </c>
      <c r="H60" s="5">
        <v>1</v>
      </c>
      <c r="I60" s="1" t="str">
        <f t="shared" si="11"/>
        <v>1.00</v>
      </c>
      <c r="J60" s="1" t="str">
        <f t="shared" si="10"/>
        <v>台</v>
      </c>
    </row>
    <row r="61" spans="1:10" ht="15.95" customHeight="1">
      <c r="A61" s="1" t="str">
        <f t="shared" si="7"/>
        <v>物品</v>
      </c>
      <c r="B61" s="1" t="str">
        <f>"418020010005"</f>
        <v>418020010005</v>
      </c>
      <c r="C61" s="1" t="str">
        <f>"ゴムボート（救命ボート）"</f>
        <v>ゴムボート（救命ボート）</v>
      </c>
      <c r="D61" s="1" t="str">
        <f>"9"</f>
        <v>9</v>
      </c>
      <c r="E61" s="3">
        <v>39121</v>
      </c>
      <c r="F61" s="4">
        <v>703553</v>
      </c>
      <c r="G61" s="5">
        <v>703552</v>
      </c>
      <c r="H61" s="5">
        <v>1</v>
      </c>
      <c r="I61" s="1" t="str">
        <f t="shared" si="11"/>
        <v>1.00</v>
      </c>
      <c r="J61" s="1" t="str">
        <f>"個"</f>
        <v>個</v>
      </c>
    </row>
    <row r="62" spans="1:10" ht="15.95" customHeight="1">
      <c r="A62" s="1" t="str">
        <f t="shared" si="7"/>
        <v>物品</v>
      </c>
      <c r="B62" s="1" t="str">
        <f>"418030010001"</f>
        <v>418030010001</v>
      </c>
      <c r="C62" s="1" t="str">
        <f>"消防ポンプ付工作自動車"</f>
        <v>消防ポンプ付工作自動車</v>
      </c>
      <c r="D62" s="1" t="str">
        <f>"5"</f>
        <v>5</v>
      </c>
      <c r="E62" s="3">
        <v>39164</v>
      </c>
      <c r="F62" s="4">
        <v>47879459</v>
      </c>
      <c r="G62" s="5">
        <v>47879458</v>
      </c>
      <c r="H62" s="5">
        <v>1</v>
      </c>
      <c r="I62" s="1" t="str">
        <f t="shared" si="11"/>
        <v>1.00</v>
      </c>
      <c r="J62" s="1" t="str">
        <f>"台"</f>
        <v>台</v>
      </c>
    </row>
    <row r="63" spans="1:10" ht="15.95" customHeight="1">
      <c r="A63" s="1" t="str">
        <f t="shared" si="7"/>
        <v>物品</v>
      </c>
      <c r="B63" s="1" t="str">
        <f>"419020010001"</f>
        <v>419020010001</v>
      </c>
      <c r="C63" s="1" t="str">
        <f>"積載車（連絡車）"</f>
        <v>積載車（連絡車）</v>
      </c>
      <c r="D63" s="1" t="str">
        <f>"4"</f>
        <v>4</v>
      </c>
      <c r="E63" s="3">
        <v>39486</v>
      </c>
      <c r="F63" s="4">
        <v>1381140</v>
      </c>
      <c r="G63" s="5">
        <v>1381139</v>
      </c>
      <c r="H63" s="5">
        <v>1</v>
      </c>
      <c r="I63" s="1" t="str">
        <f t="shared" si="11"/>
        <v>1.00</v>
      </c>
      <c r="J63" s="1" t="str">
        <f>"台"</f>
        <v>台</v>
      </c>
    </row>
    <row r="64" spans="1:10" ht="15.95" customHeight="1">
      <c r="A64" s="1" t="str">
        <f t="shared" si="7"/>
        <v>物品</v>
      </c>
      <c r="B64" s="1" t="str">
        <f>"419030010001"</f>
        <v>419030010001</v>
      </c>
      <c r="C64" s="1" t="str">
        <f>"救急自動車"</f>
        <v>救急自動車</v>
      </c>
      <c r="D64" s="1" t="str">
        <f>"5"</f>
        <v>5</v>
      </c>
      <c r="E64" s="3">
        <v>39515</v>
      </c>
      <c r="F64" s="4">
        <v>6615000</v>
      </c>
      <c r="G64" s="5">
        <v>6614999</v>
      </c>
      <c r="H64" s="5">
        <v>1</v>
      </c>
      <c r="I64" s="1" t="str">
        <f t="shared" si="11"/>
        <v>1.00</v>
      </c>
      <c r="J64" s="1" t="str">
        <f>"台"</f>
        <v>台</v>
      </c>
    </row>
    <row r="65" spans="1:10" ht="15.95" customHeight="1">
      <c r="A65" s="1" t="str">
        <f t="shared" si="7"/>
        <v>物品</v>
      </c>
      <c r="B65" s="1" t="str">
        <f>"419030010004"</f>
        <v>419030010004</v>
      </c>
      <c r="C65" s="1" t="str">
        <f>"テント"</f>
        <v>テント</v>
      </c>
      <c r="D65" s="1" t="str">
        <f>"8"</f>
        <v>8</v>
      </c>
      <c r="E65" s="3">
        <v>39525</v>
      </c>
      <c r="F65" s="4">
        <v>1291000</v>
      </c>
      <c r="G65" s="5">
        <v>1290999</v>
      </c>
      <c r="H65" s="5">
        <v>1</v>
      </c>
      <c r="I65" s="1" t="str">
        <f t="shared" si="11"/>
        <v>1.00</v>
      </c>
      <c r="J65" s="1" t="str">
        <f>"個"</f>
        <v>個</v>
      </c>
    </row>
    <row r="66" spans="1:10" ht="15.95" customHeight="1">
      <c r="A66" s="1" t="str">
        <f t="shared" ref="A66:A97" si="12">"物品"</f>
        <v>物品</v>
      </c>
      <c r="B66" s="1" t="str">
        <f>"419090010001"</f>
        <v>419090010001</v>
      </c>
      <c r="C66" s="1" t="str">
        <f>"防護服"</f>
        <v>防護服</v>
      </c>
      <c r="D66" s="1" t="str">
        <f>"9"</f>
        <v>9</v>
      </c>
      <c r="E66" s="3">
        <v>39351</v>
      </c>
      <c r="F66" s="4">
        <v>598500</v>
      </c>
      <c r="G66" s="5">
        <v>598499</v>
      </c>
      <c r="H66" s="5">
        <v>1</v>
      </c>
      <c r="I66" s="1" t="str">
        <f t="shared" si="11"/>
        <v>1.00</v>
      </c>
      <c r="J66" s="1" t="str">
        <f>"枚"</f>
        <v>枚</v>
      </c>
    </row>
    <row r="67" spans="1:10" ht="15.95" customHeight="1">
      <c r="A67" s="1" t="str">
        <f t="shared" si="12"/>
        <v>物品</v>
      </c>
      <c r="B67" s="1" t="str">
        <f>"419090010002"</f>
        <v>419090010002</v>
      </c>
      <c r="C67" s="1" t="str">
        <f>"防護服"</f>
        <v>防護服</v>
      </c>
      <c r="D67" s="1" t="str">
        <f>"9"</f>
        <v>9</v>
      </c>
      <c r="E67" s="3">
        <v>39351</v>
      </c>
      <c r="F67" s="4">
        <v>598500</v>
      </c>
      <c r="G67" s="5">
        <v>598499</v>
      </c>
      <c r="H67" s="5">
        <v>1</v>
      </c>
      <c r="I67" s="1" t="str">
        <f t="shared" si="11"/>
        <v>1.00</v>
      </c>
      <c r="J67" s="1" t="str">
        <f>"枚"</f>
        <v>枚</v>
      </c>
    </row>
    <row r="68" spans="1:10" ht="15.95" customHeight="1">
      <c r="A68" s="1" t="str">
        <f t="shared" si="12"/>
        <v>物品</v>
      </c>
      <c r="B68" s="1" t="str">
        <f>"419090010003"</f>
        <v>419090010003</v>
      </c>
      <c r="C68" s="1" t="str">
        <f>"防護服"</f>
        <v>防護服</v>
      </c>
      <c r="D68" s="1" t="str">
        <f>"9"</f>
        <v>9</v>
      </c>
      <c r="E68" s="3">
        <v>39351</v>
      </c>
      <c r="F68" s="4">
        <v>598500</v>
      </c>
      <c r="G68" s="5">
        <v>598499</v>
      </c>
      <c r="H68" s="5">
        <v>1</v>
      </c>
      <c r="I68" s="1" t="str">
        <f t="shared" si="11"/>
        <v>1.00</v>
      </c>
      <c r="J68" s="1" t="str">
        <f>"枚"</f>
        <v>枚</v>
      </c>
    </row>
    <row r="69" spans="1:10" ht="15.95" customHeight="1">
      <c r="A69" s="1" t="str">
        <f t="shared" si="12"/>
        <v>物品</v>
      </c>
      <c r="B69" s="1" t="str">
        <f>"419090010004"</f>
        <v>419090010004</v>
      </c>
      <c r="C69" s="1" t="str">
        <f>"防護服"</f>
        <v>防護服</v>
      </c>
      <c r="D69" s="1" t="str">
        <f>"9"</f>
        <v>9</v>
      </c>
      <c r="E69" s="3">
        <v>39351</v>
      </c>
      <c r="F69" s="4">
        <v>598500</v>
      </c>
      <c r="G69" s="5">
        <v>598499</v>
      </c>
      <c r="H69" s="5">
        <v>1</v>
      </c>
      <c r="I69" s="1" t="str">
        <f t="shared" si="11"/>
        <v>1.00</v>
      </c>
      <c r="J69" s="1" t="str">
        <f>"枚"</f>
        <v>枚</v>
      </c>
    </row>
    <row r="70" spans="1:10" ht="15.95" customHeight="1">
      <c r="A70" s="1" t="str">
        <f t="shared" si="12"/>
        <v>物品</v>
      </c>
      <c r="B70" s="1" t="str">
        <f>"420030010001"</f>
        <v>420030010001</v>
      </c>
      <c r="C70" s="1" t="str">
        <f>"小型動力ポンプ付積載車"</f>
        <v>小型動力ポンプ付積載車</v>
      </c>
      <c r="D70" s="1" t="str">
        <f>"5"</f>
        <v>5</v>
      </c>
      <c r="E70" s="3">
        <v>39881</v>
      </c>
      <c r="F70" s="4">
        <v>8977500</v>
      </c>
      <c r="G70" s="5">
        <v>8977499</v>
      </c>
      <c r="H70" s="5">
        <v>1</v>
      </c>
      <c r="I70" s="1" t="str">
        <f t="shared" si="11"/>
        <v>1.00</v>
      </c>
      <c r="J70" s="1" t="str">
        <f>"台"</f>
        <v>台</v>
      </c>
    </row>
    <row r="71" spans="1:10" ht="15.95" customHeight="1">
      <c r="A71" s="1" t="str">
        <f t="shared" si="12"/>
        <v>物品</v>
      </c>
      <c r="B71" s="1" t="str">
        <f>"420070010001"</f>
        <v>420070010001</v>
      </c>
      <c r="C71" s="1" t="str">
        <f>"コンプレッサー"</f>
        <v>コンプレッサー</v>
      </c>
      <c r="D71" s="1" t="str">
        <f>"8"</f>
        <v>8</v>
      </c>
      <c r="E71" s="3">
        <v>39657</v>
      </c>
      <c r="F71" s="4">
        <v>3318000</v>
      </c>
      <c r="G71" s="5">
        <v>3317999</v>
      </c>
      <c r="H71" s="5">
        <v>1</v>
      </c>
      <c r="I71" s="1" t="str">
        <f t="shared" si="11"/>
        <v>1.00</v>
      </c>
      <c r="J71" s="1" t="str">
        <f>"台"</f>
        <v>台</v>
      </c>
    </row>
    <row r="72" spans="1:10" ht="15.95" customHeight="1">
      <c r="A72" s="1" t="str">
        <f t="shared" si="12"/>
        <v>物品</v>
      </c>
      <c r="B72" s="1" t="str">
        <f>"420070010002"</f>
        <v>420070010002</v>
      </c>
      <c r="C72" s="1" t="str">
        <f>"可搬式小型ポンプ"</f>
        <v>可搬式小型ポンプ</v>
      </c>
      <c r="D72" s="1" t="str">
        <f>"8"</f>
        <v>8</v>
      </c>
      <c r="E72" s="3">
        <v>39643</v>
      </c>
      <c r="F72" s="4">
        <v>658875</v>
      </c>
      <c r="G72" s="5">
        <v>658874</v>
      </c>
      <c r="H72" s="5">
        <v>1</v>
      </c>
      <c r="I72" s="1" t="str">
        <f t="shared" si="11"/>
        <v>1.00</v>
      </c>
      <c r="J72" s="1" t="str">
        <f>"台"</f>
        <v>台</v>
      </c>
    </row>
    <row r="73" spans="1:10" ht="15.95" customHeight="1">
      <c r="A73" s="1" t="str">
        <f t="shared" si="12"/>
        <v>物品</v>
      </c>
      <c r="B73" s="1" t="str">
        <f>"420090010001"</f>
        <v>420090010001</v>
      </c>
      <c r="C73" s="1" t="str">
        <f>"テント"</f>
        <v>テント</v>
      </c>
      <c r="D73" s="1" t="str">
        <f>"8"</f>
        <v>8</v>
      </c>
      <c r="E73" s="3">
        <v>39695</v>
      </c>
      <c r="F73" s="4">
        <v>504000</v>
      </c>
      <c r="G73" s="5">
        <v>503999</v>
      </c>
      <c r="H73" s="5">
        <v>1</v>
      </c>
      <c r="I73" s="1" t="str">
        <f t="shared" si="11"/>
        <v>1.00</v>
      </c>
      <c r="J73" s="1" t="str">
        <f>"個"</f>
        <v>個</v>
      </c>
    </row>
    <row r="74" spans="1:10" ht="15.95" customHeight="1">
      <c r="A74" s="1" t="str">
        <f t="shared" si="12"/>
        <v>物品</v>
      </c>
      <c r="B74" s="1" t="str">
        <f>"421090010001"</f>
        <v>421090010001</v>
      </c>
      <c r="C74" s="1" t="str">
        <f>"積載車（連絡車）"</f>
        <v>積載車（連絡車）</v>
      </c>
      <c r="D74" s="1" t="str">
        <f>"4"</f>
        <v>4</v>
      </c>
      <c r="E74" s="3">
        <v>40084</v>
      </c>
      <c r="F74" s="4">
        <v>1337900</v>
      </c>
      <c r="G74" s="5">
        <v>1337899</v>
      </c>
      <c r="H74" s="5">
        <v>1</v>
      </c>
      <c r="I74" s="1" t="str">
        <f t="shared" si="11"/>
        <v>1.00</v>
      </c>
      <c r="J74" s="1" t="str">
        <f>"台"</f>
        <v>台</v>
      </c>
    </row>
    <row r="75" spans="1:10" ht="15.95" customHeight="1">
      <c r="A75" s="1" t="str">
        <f t="shared" si="12"/>
        <v>物品</v>
      </c>
      <c r="B75" s="1" t="str">
        <f>"421090010002"</f>
        <v>421090010002</v>
      </c>
      <c r="C75" s="1" t="str">
        <f>"積載車（連絡車）"</f>
        <v>積載車（連絡車）</v>
      </c>
      <c r="D75" s="1" t="str">
        <f>"4"</f>
        <v>4</v>
      </c>
      <c r="E75" s="3">
        <v>40084</v>
      </c>
      <c r="F75" s="4">
        <v>1337900</v>
      </c>
      <c r="G75" s="5">
        <v>1337899</v>
      </c>
      <c r="H75" s="5">
        <v>1</v>
      </c>
      <c r="I75" s="1" t="str">
        <f t="shared" si="11"/>
        <v>1.00</v>
      </c>
      <c r="J75" s="1" t="str">
        <f>"台"</f>
        <v>台</v>
      </c>
    </row>
    <row r="76" spans="1:10" ht="15.95" customHeight="1">
      <c r="A76" s="1" t="str">
        <f t="shared" si="12"/>
        <v>物品</v>
      </c>
      <c r="B76" s="1" t="str">
        <f>"422030010001"</f>
        <v>422030010001</v>
      </c>
      <c r="C76" s="1" t="str">
        <f>"滅菌器"</f>
        <v>滅菌器</v>
      </c>
      <c r="D76" s="1" t="str">
        <f>"4"</f>
        <v>4</v>
      </c>
      <c r="E76" s="3">
        <v>40624</v>
      </c>
      <c r="F76" s="4">
        <v>658560</v>
      </c>
      <c r="G76" s="5">
        <v>658559</v>
      </c>
      <c r="H76" s="5">
        <v>1</v>
      </c>
      <c r="I76" s="1" t="str">
        <f t="shared" si="11"/>
        <v>1.00</v>
      </c>
      <c r="J76" s="1" t="str">
        <f>"個"</f>
        <v>個</v>
      </c>
    </row>
    <row r="77" spans="1:10" ht="15.95" customHeight="1">
      <c r="A77" s="1" t="str">
        <f t="shared" si="12"/>
        <v>物品</v>
      </c>
      <c r="B77" s="1" t="str">
        <f>"422060010001"</f>
        <v>422060010001</v>
      </c>
      <c r="C77" s="1" t="str">
        <f>"可搬式小型ポンプ"</f>
        <v>可搬式小型ポンプ</v>
      </c>
      <c r="D77" s="1" t="str">
        <f>"6"</f>
        <v>6</v>
      </c>
      <c r="E77" s="3">
        <v>40359</v>
      </c>
      <c r="F77" s="4">
        <v>627900</v>
      </c>
      <c r="G77" s="5">
        <v>627899</v>
      </c>
      <c r="H77" s="5">
        <v>1</v>
      </c>
      <c r="I77" s="1" t="str">
        <f t="shared" si="11"/>
        <v>1.00</v>
      </c>
      <c r="J77" s="1" t="str">
        <f t="shared" ref="J77:J86" si="13">"台"</f>
        <v>台</v>
      </c>
    </row>
    <row r="78" spans="1:10" ht="15.95" customHeight="1">
      <c r="A78" s="1" t="str">
        <f t="shared" si="12"/>
        <v>物品</v>
      </c>
      <c r="B78" s="1" t="str">
        <f>"422100010001"</f>
        <v>422100010001</v>
      </c>
      <c r="C78" s="1" t="str">
        <f>"防火指導車（その他）"</f>
        <v>防火指導車（その他）</v>
      </c>
      <c r="D78" s="1" t="str">
        <f>"6"</f>
        <v>6</v>
      </c>
      <c r="E78" s="3">
        <v>40478</v>
      </c>
      <c r="F78" s="4">
        <v>1300000</v>
      </c>
      <c r="G78" s="5">
        <v>1299999</v>
      </c>
      <c r="H78" s="5">
        <v>1</v>
      </c>
      <c r="I78" s="1" t="str">
        <f t="shared" si="11"/>
        <v>1.00</v>
      </c>
      <c r="J78" s="1" t="str">
        <f t="shared" si="13"/>
        <v>台</v>
      </c>
    </row>
    <row r="79" spans="1:10" ht="15.95" customHeight="1">
      <c r="A79" s="1" t="str">
        <f t="shared" si="12"/>
        <v>物品</v>
      </c>
      <c r="B79" s="1" t="str">
        <f>"422100010002"</f>
        <v>422100010002</v>
      </c>
      <c r="C79" s="1" t="str">
        <f>"高度救急処置訓練人形"</f>
        <v>高度救急処置訓練人形</v>
      </c>
      <c r="D79" s="1" t="str">
        <f>"6"</f>
        <v>6</v>
      </c>
      <c r="E79" s="3">
        <v>40476</v>
      </c>
      <c r="F79" s="4">
        <v>1624350</v>
      </c>
      <c r="G79" s="5">
        <v>1624349</v>
      </c>
      <c r="H79" s="5">
        <v>1</v>
      </c>
      <c r="I79" s="1" t="str">
        <f t="shared" si="11"/>
        <v>1.00</v>
      </c>
      <c r="J79" s="1" t="str">
        <f t="shared" si="13"/>
        <v>台</v>
      </c>
    </row>
    <row r="80" spans="1:10" ht="15.95" customHeight="1">
      <c r="A80" s="1" t="str">
        <f t="shared" si="12"/>
        <v>物品</v>
      </c>
      <c r="B80" s="1" t="str">
        <f>"422110010001"</f>
        <v>422110010001</v>
      </c>
      <c r="C80" s="1" t="str">
        <f>"救急自動車"</f>
        <v>救急自動車</v>
      </c>
      <c r="D80" s="1" t="str">
        <f>"5"</f>
        <v>5</v>
      </c>
      <c r="E80" s="3">
        <v>40486</v>
      </c>
      <c r="F80" s="4">
        <v>24444000</v>
      </c>
      <c r="G80" s="5">
        <v>24443999</v>
      </c>
      <c r="H80" s="5">
        <v>1</v>
      </c>
      <c r="I80" s="1" t="str">
        <f t="shared" si="11"/>
        <v>1.00</v>
      </c>
      <c r="J80" s="1" t="str">
        <f t="shared" si="13"/>
        <v>台</v>
      </c>
    </row>
    <row r="81" spans="1:10" ht="15.95" customHeight="1">
      <c r="A81" s="1" t="str">
        <f t="shared" si="12"/>
        <v>物品</v>
      </c>
      <c r="B81" s="1" t="str">
        <f>"422110010002"</f>
        <v>422110010002</v>
      </c>
      <c r="C81" s="1" t="str">
        <f>"三連はしご"</f>
        <v>三連はしご</v>
      </c>
      <c r="D81" s="1" t="str">
        <f>"8"</f>
        <v>8</v>
      </c>
      <c r="E81" s="3">
        <v>40483</v>
      </c>
      <c r="F81" s="4">
        <v>1325730</v>
      </c>
      <c r="G81" s="5">
        <v>1325729</v>
      </c>
      <c r="H81" s="5">
        <v>1</v>
      </c>
      <c r="I81" s="1" t="str">
        <f t="shared" si="11"/>
        <v>1.00</v>
      </c>
      <c r="J81" s="1" t="str">
        <f t="shared" si="13"/>
        <v>台</v>
      </c>
    </row>
    <row r="82" spans="1:10" ht="15.95" customHeight="1">
      <c r="A82" s="1" t="str">
        <f t="shared" si="12"/>
        <v>物品</v>
      </c>
      <c r="B82" s="1" t="str">
        <f>"423010010001"</f>
        <v>423010010001</v>
      </c>
      <c r="C82" s="1" t="str">
        <f>"消防ポンプ自動車"</f>
        <v>消防ポンプ自動車</v>
      </c>
      <c r="D82" s="1" t="str">
        <f>"5"</f>
        <v>5</v>
      </c>
      <c r="E82" s="3">
        <v>40939</v>
      </c>
      <c r="F82" s="4">
        <v>31920000</v>
      </c>
      <c r="G82" s="5">
        <v>31919999</v>
      </c>
      <c r="H82" s="5">
        <v>1</v>
      </c>
      <c r="I82" s="1" t="str">
        <f t="shared" si="11"/>
        <v>1.00</v>
      </c>
      <c r="J82" s="1" t="str">
        <f t="shared" si="13"/>
        <v>台</v>
      </c>
    </row>
    <row r="83" spans="1:10" ht="15.95" customHeight="1">
      <c r="A83" s="1" t="str">
        <f t="shared" si="12"/>
        <v>物品</v>
      </c>
      <c r="B83" s="1" t="str">
        <f>"423110010001"</f>
        <v>423110010001</v>
      </c>
      <c r="C83" s="1" t="str">
        <f>"レスキューフレームセット"</f>
        <v>レスキューフレームセット</v>
      </c>
      <c r="D83" s="1" t="str">
        <f>"5"</f>
        <v>5</v>
      </c>
      <c r="E83" s="3">
        <v>40871</v>
      </c>
      <c r="F83" s="4">
        <v>794999</v>
      </c>
      <c r="G83" s="5">
        <v>794998</v>
      </c>
      <c r="H83" s="5">
        <v>1</v>
      </c>
      <c r="I83" s="1" t="str">
        <f t="shared" si="11"/>
        <v>1.00</v>
      </c>
      <c r="J83" s="1" t="str">
        <f t="shared" si="13"/>
        <v>台</v>
      </c>
    </row>
    <row r="84" spans="1:10" ht="15.95" customHeight="1">
      <c r="A84" s="1" t="str">
        <f t="shared" si="12"/>
        <v>物品</v>
      </c>
      <c r="B84" s="1" t="str">
        <f>"424010010001"</f>
        <v>424010010001</v>
      </c>
      <c r="C84" s="1" t="str">
        <f>"救急自動車"</f>
        <v>救急自動車</v>
      </c>
      <c r="D84" s="1" t="str">
        <f>"5"</f>
        <v>5</v>
      </c>
      <c r="E84" s="3">
        <v>41295</v>
      </c>
      <c r="F84" s="4">
        <v>25200000</v>
      </c>
      <c r="G84" s="5">
        <v>25199999</v>
      </c>
      <c r="H84" s="5">
        <v>1</v>
      </c>
      <c r="I84" s="1" t="str">
        <f t="shared" ref="I84:I115" si="14">"1.00"</f>
        <v>1.00</v>
      </c>
      <c r="J84" s="1" t="str">
        <f t="shared" si="13"/>
        <v>台</v>
      </c>
    </row>
    <row r="85" spans="1:10" ht="15.95" customHeight="1">
      <c r="A85" s="1" t="str">
        <f t="shared" si="12"/>
        <v>物品</v>
      </c>
      <c r="B85" s="1" t="str">
        <f>"424030010001"</f>
        <v>424030010001</v>
      </c>
      <c r="C85" s="1" t="str">
        <f>"除細動器"</f>
        <v>除細動器</v>
      </c>
      <c r="D85" s="1" t="str">
        <f>"6"</f>
        <v>6</v>
      </c>
      <c r="E85" s="3">
        <v>41337</v>
      </c>
      <c r="F85" s="4">
        <v>832650</v>
      </c>
      <c r="G85" s="5">
        <v>832649</v>
      </c>
      <c r="H85" s="5">
        <v>1</v>
      </c>
      <c r="I85" s="1" t="str">
        <f t="shared" si="14"/>
        <v>1.00</v>
      </c>
      <c r="J85" s="1" t="str">
        <f t="shared" si="13"/>
        <v>台</v>
      </c>
    </row>
    <row r="86" spans="1:10" ht="15.95" customHeight="1">
      <c r="A86" s="1" t="str">
        <f t="shared" si="12"/>
        <v>物品</v>
      </c>
      <c r="B86" s="1" t="str">
        <f>"424030010002"</f>
        <v>424030010002</v>
      </c>
      <c r="C86" s="1" t="str">
        <f>"除細動器"</f>
        <v>除細動器</v>
      </c>
      <c r="D86" s="1" t="str">
        <f>"6"</f>
        <v>6</v>
      </c>
      <c r="E86" s="3">
        <v>41337</v>
      </c>
      <c r="F86" s="4">
        <v>832650</v>
      </c>
      <c r="G86" s="5">
        <v>832649</v>
      </c>
      <c r="H86" s="5">
        <v>1</v>
      </c>
      <c r="I86" s="1" t="str">
        <f t="shared" si="14"/>
        <v>1.00</v>
      </c>
      <c r="J86" s="1" t="str">
        <f t="shared" si="13"/>
        <v>台</v>
      </c>
    </row>
    <row r="87" spans="1:10" ht="15.95" customHeight="1">
      <c r="A87" s="1" t="str">
        <f t="shared" si="12"/>
        <v>物品</v>
      </c>
      <c r="B87" s="1" t="str">
        <f>"425010010001"</f>
        <v>425010010001</v>
      </c>
      <c r="C87" s="1" t="str">
        <f>"リフトバック空気ジャッキ"</f>
        <v>リフトバック空気ジャッキ</v>
      </c>
      <c r="D87" s="1" t="str">
        <f>"10"</f>
        <v>10</v>
      </c>
      <c r="E87" s="3">
        <v>41668</v>
      </c>
      <c r="F87" s="4">
        <v>1248975</v>
      </c>
      <c r="G87" s="5">
        <v>624485</v>
      </c>
      <c r="H87" s="5">
        <v>624490</v>
      </c>
      <c r="I87" s="1" t="str">
        <f t="shared" si="14"/>
        <v>1.00</v>
      </c>
      <c r="J87" s="1" t="str">
        <f>"個"</f>
        <v>個</v>
      </c>
    </row>
    <row r="88" spans="1:10" ht="15.95" customHeight="1">
      <c r="A88" s="1" t="str">
        <f t="shared" si="12"/>
        <v>物品</v>
      </c>
      <c r="B88" s="1" t="str">
        <f>"425030010001"</f>
        <v>425030010001</v>
      </c>
      <c r="C88" s="1" t="str">
        <f>"消防ポンプ自動車"</f>
        <v>消防ポンプ自動車</v>
      </c>
      <c r="D88" s="1" t="str">
        <f>"5"</f>
        <v>5</v>
      </c>
      <c r="E88" s="3">
        <v>41714</v>
      </c>
      <c r="F88" s="4">
        <v>34125000</v>
      </c>
      <c r="G88" s="5">
        <v>34124999</v>
      </c>
      <c r="H88" s="5">
        <v>1</v>
      </c>
      <c r="I88" s="1" t="str">
        <f t="shared" si="14"/>
        <v>1.00</v>
      </c>
      <c r="J88" s="1" t="str">
        <f>"台"</f>
        <v>台</v>
      </c>
    </row>
    <row r="89" spans="1:10" ht="15.95" customHeight="1">
      <c r="A89" s="1" t="str">
        <f t="shared" si="12"/>
        <v>物品</v>
      </c>
      <c r="B89" s="1" t="str">
        <f>"425030010002"</f>
        <v>425030010002</v>
      </c>
      <c r="C89" s="1" t="str">
        <f>"消防ポンプ自動車"</f>
        <v>消防ポンプ自動車</v>
      </c>
      <c r="D89" s="1" t="str">
        <f>"5"</f>
        <v>5</v>
      </c>
      <c r="E89" s="3">
        <v>41714</v>
      </c>
      <c r="F89" s="4">
        <v>34125000</v>
      </c>
      <c r="G89" s="5">
        <v>34124999</v>
      </c>
      <c r="H89" s="5">
        <v>1</v>
      </c>
      <c r="I89" s="1" t="str">
        <f t="shared" si="14"/>
        <v>1.00</v>
      </c>
      <c r="J89" s="1" t="str">
        <f>"台"</f>
        <v>台</v>
      </c>
    </row>
    <row r="90" spans="1:10" ht="15.95" customHeight="1">
      <c r="A90" s="1" t="str">
        <f t="shared" si="12"/>
        <v>物品</v>
      </c>
      <c r="B90" s="1" t="str">
        <f>"425030010003"</f>
        <v>425030010003</v>
      </c>
      <c r="C90" s="1" t="str">
        <f>"除細動器"</f>
        <v>除細動器</v>
      </c>
      <c r="D90" s="1" t="str">
        <f>"6"</f>
        <v>6</v>
      </c>
      <c r="E90" s="3">
        <v>41701</v>
      </c>
      <c r="F90" s="4">
        <v>1094100</v>
      </c>
      <c r="G90" s="5">
        <v>913570</v>
      </c>
      <c r="H90" s="5">
        <v>180530</v>
      </c>
      <c r="I90" s="1" t="str">
        <f t="shared" si="14"/>
        <v>1.00</v>
      </c>
      <c r="J90" s="1" t="str">
        <f>"台"</f>
        <v>台</v>
      </c>
    </row>
    <row r="91" spans="1:10" ht="15.95" customHeight="1">
      <c r="A91" s="1" t="str">
        <f t="shared" si="12"/>
        <v>物品</v>
      </c>
      <c r="B91" s="1" t="str">
        <f>"425070010001"</f>
        <v>425070010001</v>
      </c>
      <c r="C91" s="1" t="str">
        <f>"滅菌器"</f>
        <v>滅菌器</v>
      </c>
      <c r="D91" s="1" t="str">
        <f>"4"</f>
        <v>4</v>
      </c>
      <c r="E91" s="3">
        <v>41456</v>
      </c>
      <c r="F91" s="4">
        <v>577500</v>
      </c>
      <c r="G91" s="5">
        <v>577499</v>
      </c>
      <c r="H91" s="5">
        <v>1</v>
      </c>
      <c r="I91" s="1" t="str">
        <f t="shared" si="14"/>
        <v>1.00</v>
      </c>
      <c r="J91" s="1" t="str">
        <f>"個"</f>
        <v>個</v>
      </c>
    </row>
    <row r="92" spans="1:10" ht="15.95" customHeight="1">
      <c r="A92" s="1" t="str">
        <f t="shared" si="12"/>
        <v>物品</v>
      </c>
      <c r="B92" s="1" t="str">
        <f>"426020010001"</f>
        <v>426020010001</v>
      </c>
      <c r="C92" s="1" t="str">
        <f>"オゾン除染器"</f>
        <v>オゾン除染器</v>
      </c>
      <c r="D92" s="1" t="str">
        <f>"4"</f>
        <v>4</v>
      </c>
      <c r="E92" s="3">
        <v>42040</v>
      </c>
      <c r="F92" s="4">
        <v>1885000</v>
      </c>
      <c r="G92" s="5">
        <v>1884999</v>
      </c>
      <c r="H92" s="5">
        <v>1</v>
      </c>
      <c r="I92" s="1" t="str">
        <f t="shared" si="14"/>
        <v>1.00</v>
      </c>
      <c r="J92" s="1" t="str">
        <f>"台"</f>
        <v>台</v>
      </c>
    </row>
    <row r="93" spans="1:10" ht="15.95" customHeight="1">
      <c r="A93" s="1" t="str">
        <f t="shared" si="12"/>
        <v>物品</v>
      </c>
      <c r="B93" s="1" t="str">
        <f>"426020010002"</f>
        <v>426020010002</v>
      </c>
      <c r="C93" s="1" t="str">
        <f>"オゾン除染器"</f>
        <v>オゾン除染器</v>
      </c>
      <c r="D93" s="1" t="str">
        <f>"4"</f>
        <v>4</v>
      </c>
      <c r="E93" s="3">
        <v>42040</v>
      </c>
      <c r="F93" s="4">
        <v>1154000</v>
      </c>
      <c r="G93" s="5">
        <v>1153999</v>
      </c>
      <c r="H93" s="5">
        <v>1</v>
      </c>
      <c r="I93" s="1" t="str">
        <f t="shared" si="14"/>
        <v>1.00</v>
      </c>
      <c r="J93" s="1" t="str">
        <f>"台"</f>
        <v>台</v>
      </c>
    </row>
    <row r="94" spans="1:10" ht="15.95" customHeight="1">
      <c r="A94" s="1" t="str">
        <f t="shared" si="12"/>
        <v>物品</v>
      </c>
      <c r="B94" s="1" t="str">
        <f>"426030010001"</f>
        <v>426030010001</v>
      </c>
      <c r="C94" s="1" t="str">
        <f>"救急自動車"</f>
        <v>救急自動車</v>
      </c>
      <c r="D94" s="1" t="str">
        <f>"5"</f>
        <v>5</v>
      </c>
      <c r="E94" s="3">
        <v>42072</v>
      </c>
      <c r="F94" s="4">
        <v>27648000</v>
      </c>
      <c r="G94" s="5">
        <v>22118400</v>
      </c>
      <c r="H94" s="5">
        <v>5529600</v>
      </c>
      <c r="I94" s="1" t="str">
        <f t="shared" si="14"/>
        <v>1.00</v>
      </c>
      <c r="J94" s="1" t="str">
        <f>"台"</f>
        <v>台</v>
      </c>
    </row>
    <row r="95" spans="1:10" ht="15.95" customHeight="1">
      <c r="A95" s="1" t="str">
        <f t="shared" si="12"/>
        <v>物品</v>
      </c>
      <c r="B95" s="1" t="str">
        <f>"426030010002"</f>
        <v>426030010002</v>
      </c>
      <c r="C95" s="1" t="str">
        <f>"ブラインド"</f>
        <v>ブラインド</v>
      </c>
      <c r="D95" s="1" t="str">
        <f>"8"</f>
        <v>8</v>
      </c>
      <c r="E95" s="3">
        <v>42079</v>
      </c>
      <c r="F95" s="4">
        <v>621900</v>
      </c>
      <c r="G95" s="5">
        <v>310948</v>
      </c>
      <c r="H95" s="5">
        <v>310952</v>
      </c>
      <c r="I95" s="1" t="str">
        <f t="shared" si="14"/>
        <v>1.00</v>
      </c>
      <c r="J95" s="1" t="str">
        <f>"個"</f>
        <v>個</v>
      </c>
    </row>
    <row r="96" spans="1:10" ht="15.95" customHeight="1">
      <c r="A96" s="1" t="str">
        <f t="shared" si="12"/>
        <v>物品</v>
      </c>
      <c r="B96" s="1" t="str">
        <f>"426030010003"</f>
        <v>426030010003</v>
      </c>
      <c r="C96" s="1" t="str">
        <f>"除細動器"</f>
        <v>除細動器</v>
      </c>
      <c r="D96" s="1" t="str">
        <f>"6"</f>
        <v>6</v>
      </c>
      <c r="E96" s="3">
        <v>42072</v>
      </c>
      <c r="F96" s="4">
        <v>1094100</v>
      </c>
      <c r="G96" s="5">
        <v>730856</v>
      </c>
      <c r="H96" s="5">
        <v>363244</v>
      </c>
      <c r="I96" s="1" t="str">
        <f t="shared" si="14"/>
        <v>1.00</v>
      </c>
      <c r="J96" s="1" t="str">
        <f t="shared" ref="J96:J133" si="15">"台"</f>
        <v>台</v>
      </c>
    </row>
    <row r="97" spans="1:10" ht="15.95" customHeight="1">
      <c r="A97" s="1" t="str">
        <f t="shared" si="12"/>
        <v>物品</v>
      </c>
      <c r="B97" s="1" t="str">
        <f>"426030010004"</f>
        <v>426030010004</v>
      </c>
      <c r="C97" s="1" t="str">
        <f t="shared" ref="C97:C124" si="16">"移動無線　車載型"</f>
        <v>移動無線　車載型</v>
      </c>
      <c r="D97" s="1" t="str">
        <f t="shared" ref="D97:D125" si="17">"10"</f>
        <v>10</v>
      </c>
      <c r="E97" s="3">
        <v>42072</v>
      </c>
      <c r="F97" s="4">
        <v>830000</v>
      </c>
      <c r="G97" s="5">
        <v>332000</v>
      </c>
      <c r="H97" s="5">
        <v>498000</v>
      </c>
      <c r="I97" s="1" t="str">
        <f t="shared" si="14"/>
        <v>1.00</v>
      </c>
      <c r="J97" s="1" t="str">
        <f t="shared" si="15"/>
        <v>台</v>
      </c>
    </row>
    <row r="98" spans="1:10" ht="15.95" customHeight="1">
      <c r="A98" s="1" t="str">
        <f t="shared" ref="A98:A129" si="18">"物品"</f>
        <v>物品</v>
      </c>
      <c r="B98" s="1" t="str">
        <f>"426030010005"</f>
        <v>426030010005</v>
      </c>
      <c r="C98" s="1" t="str">
        <f t="shared" si="16"/>
        <v>移動無線　車載型</v>
      </c>
      <c r="D98" s="1" t="str">
        <f t="shared" si="17"/>
        <v>10</v>
      </c>
      <c r="E98" s="3">
        <v>42072</v>
      </c>
      <c r="F98" s="4">
        <v>830000</v>
      </c>
      <c r="G98" s="5">
        <v>332000</v>
      </c>
      <c r="H98" s="5">
        <v>498000</v>
      </c>
      <c r="I98" s="1" t="str">
        <f t="shared" si="14"/>
        <v>1.00</v>
      </c>
      <c r="J98" s="1" t="str">
        <f t="shared" si="15"/>
        <v>台</v>
      </c>
    </row>
    <row r="99" spans="1:10" ht="15.95" customHeight="1">
      <c r="A99" s="1" t="str">
        <f t="shared" si="18"/>
        <v>物品</v>
      </c>
      <c r="B99" s="1" t="str">
        <f>"426030010006"</f>
        <v>426030010006</v>
      </c>
      <c r="C99" s="1" t="str">
        <f t="shared" si="16"/>
        <v>移動無線　車載型</v>
      </c>
      <c r="D99" s="1" t="str">
        <f t="shared" si="17"/>
        <v>10</v>
      </c>
      <c r="E99" s="3">
        <v>42072</v>
      </c>
      <c r="F99" s="4">
        <v>830000</v>
      </c>
      <c r="G99" s="5">
        <v>332000</v>
      </c>
      <c r="H99" s="5">
        <v>498000</v>
      </c>
      <c r="I99" s="1" t="str">
        <f t="shared" si="14"/>
        <v>1.00</v>
      </c>
      <c r="J99" s="1" t="str">
        <f t="shared" si="15"/>
        <v>台</v>
      </c>
    </row>
    <row r="100" spans="1:10" ht="15.95" customHeight="1">
      <c r="A100" s="1" t="str">
        <f t="shared" si="18"/>
        <v>物品</v>
      </c>
      <c r="B100" s="1" t="str">
        <f>"426030010007"</f>
        <v>426030010007</v>
      </c>
      <c r="C100" s="1" t="str">
        <f t="shared" si="16"/>
        <v>移動無線　車載型</v>
      </c>
      <c r="D100" s="1" t="str">
        <f t="shared" si="17"/>
        <v>10</v>
      </c>
      <c r="E100" s="3">
        <v>42072</v>
      </c>
      <c r="F100" s="4">
        <v>830000</v>
      </c>
      <c r="G100" s="5">
        <v>332000</v>
      </c>
      <c r="H100" s="5">
        <v>498000</v>
      </c>
      <c r="I100" s="1" t="str">
        <f t="shared" si="14"/>
        <v>1.00</v>
      </c>
      <c r="J100" s="1" t="str">
        <f t="shared" si="15"/>
        <v>台</v>
      </c>
    </row>
    <row r="101" spans="1:10" ht="15.95" customHeight="1">
      <c r="A101" s="1" t="str">
        <f t="shared" si="18"/>
        <v>物品</v>
      </c>
      <c r="B101" s="1" t="str">
        <f>"426030010008"</f>
        <v>426030010008</v>
      </c>
      <c r="C101" s="1" t="str">
        <f t="shared" si="16"/>
        <v>移動無線　車載型</v>
      </c>
      <c r="D101" s="1" t="str">
        <f t="shared" si="17"/>
        <v>10</v>
      </c>
      <c r="E101" s="3">
        <v>42072</v>
      </c>
      <c r="F101" s="4">
        <v>830000</v>
      </c>
      <c r="G101" s="5">
        <v>332000</v>
      </c>
      <c r="H101" s="5">
        <v>498000</v>
      </c>
      <c r="I101" s="1" t="str">
        <f t="shared" si="14"/>
        <v>1.00</v>
      </c>
      <c r="J101" s="1" t="str">
        <f t="shared" si="15"/>
        <v>台</v>
      </c>
    </row>
    <row r="102" spans="1:10" ht="15.95" customHeight="1">
      <c r="A102" s="1" t="str">
        <f t="shared" si="18"/>
        <v>物品</v>
      </c>
      <c r="B102" s="1" t="str">
        <f>"426030010009"</f>
        <v>426030010009</v>
      </c>
      <c r="C102" s="1" t="str">
        <f t="shared" si="16"/>
        <v>移動無線　車載型</v>
      </c>
      <c r="D102" s="1" t="str">
        <f t="shared" si="17"/>
        <v>10</v>
      </c>
      <c r="E102" s="3">
        <v>42072</v>
      </c>
      <c r="F102" s="4">
        <v>830000</v>
      </c>
      <c r="G102" s="5">
        <v>332000</v>
      </c>
      <c r="H102" s="5">
        <v>498000</v>
      </c>
      <c r="I102" s="1" t="str">
        <f t="shared" si="14"/>
        <v>1.00</v>
      </c>
      <c r="J102" s="1" t="str">
        <f t="shared" si="15"/>
        <v>台</v>
      </c>
    </row>
    <row r="103" spans="1:10" ht="15.95" customHeight="1">
      <c r="A103" s="1" t="str">
        <f t="shared" si="18"/>
        <v>物品</v>
      </c>
      <c r="B103" s="1" t="str">
        <f>"426030010010"</f>
        <v>426030010010</v>
      </c>
      <c r="C103" s="1" t="str">
        <f t="shared" si="16"/>
        <v>移動無線　車載型</v>
      </c>
      <c r="D103" s="1" t="str">
        <f t="shared" si="17"/>
        <v>10</v>
      </c>
      <c r="E103" s="3">
        <v>42072</v>
      </c>
      <c r="F103" s="4">
        <v>830000</v>
      </c>
      <c r="G103" s="5">
        <v>332000</v>
      </c>
      <c r="H103" s="5">
        <v>498000</v>
      </c>
      <c r="I103" s="1" t="str">
        <f t="shared" si="14"/>
        <v>1.00</v>
      </c>
      <c r="J103" s="1" t="str">
        <f t="shared" si="15"/>
        <v>台</v>
      </c>
    </row>
    <row r="104" spans="1:10" ht="15.95" customHeight="1">
      <c r="A104" s="1" t="str">
        <f t="shared" si="18"/>
        <v>物品</v>
      </c>
      <c r="B104" s="1" t="str">
        <f>"426030010011"</f>
        <v>426030010011</v>
      </c>
      <c r="C104" s="1" t="str">
        <f t="shared" si="16"/>
        <v>移動無線　車載型</v>
      </c>
      <c r="D104" s="1" t="str">
        <f t="shared" si="17"/>
        <v>10</v>
      </c>
      <c r="E104" s="3">
        <v>42072</v>
      </c>
      <c r="F104" s="4">
        <v>830000</v>
      </c>
      <c r="G104" s="5">
        <v>332000</v>
      </c>
      <c r="H104" s="5">
        <v>498000</v>
      </c>
      <c r="I104" s="1" t="str">
        <f t="shared" si="14"/>
        <v>1.00</v>
      </c>
      <c r="J104" s="1" t="str">
        <f t="shared" si="15"/>
        <v>台</v>
      </c>
    </row>
    <row r="105" spans="1:10" ht="15.95" customHeight="1">
      <c r="A105" s="1" t="str">
        <f t="shared" si="18"/>
        <v>物品</v>
      </c>
      <c r="B105" s="1" t="str">
        <f>"426030010012"</f>
        <v>426030010012</v>
      </c>
      <c r="C105" s="1" t="str">
        <f t="shared" si="16"/>
        <v>移動無線　車載型</v>
      </c>
      <c r="D105" s="1" t="str">
        <f t="shared" si="17"/>
        <v>10</v>
      </c>
      <c r="E105" s="3">
        <v>42072</v>
      </c>
      <c r="F105" s="4">
        <v>830000</v>
      </c>
      <c r="G105" s="5">
        <v>332000</v>
      </c>
      <c r="H105" s="5">
        <v>498000</v>
      </c>
      <c r="I105" s="1" t="str">
        <f t="shared" si="14"/>
        <v>1.00</v>
      </c>
      <c r="J105" s="1" t="str">
        <f t="shared" si="15"/>
        <v>台</v>
      </c>
    </row>
    <row r="106" spans="1:10" ht="15.95" customHeight="1">
      <c r="A106" s="1" t="str">
        <f t="shared" si="18"/>
        <v>物品</v>
      </c>
      <c r="B106" s="1" t="str">
        <f>"426030010013"</f>
        <v>426030010013</v>
      </c>
      <c r="C106" s="1" t="str">
        <f t="shared" si="16"/>
        <v>移動無線　車載型</v>
      </c>
      <c r="D106" s="1" t="str">
        <f t="shared" si="17"/>
        <v>10</v>
      </c>
      <c r="E106" s="3">
        <v>42072</v>
      </c>
      <c r="F106" s="4">
        <v>830000</v>
      </c>
      <c r="G106" s="5">
        <v>332000</v>
      </c>
      <c r="H106" s="5">
        <v>498000</v>
      </c>
      <c r="I106" s="1" t="str">
        <f t="shared" si="14"/>
        <v>1.00</v>
      </c>
      <c r="J106" s="1" t="str">
        <f t="shared" si="15"/>
        <v>台</v>
      </c>
    </row>
    <row r="107" spans="1:10" ht="15.95" customHeight="1">
      <c r="A107" s="1" t="str">
        <f t="shared" si="18"/>
        <v>物品</v>
      </c>
      <c r="B107" s="1" t="str">
        <f>"426030010014"</f>
        <v>426030010014</v>
      </c>
      <c r="C107" s="1" t="str">
        <f t="shared" si="16"/>
        <v>移動無線　車載型</v>
      </c>
      <c r="D107" s="1" t="str">
        <f t="shared" si="17"/>
        <v>10</v>
      </c>
      <c r="E107" s="3">
        <v>42072</v>
      </c>
      <c r="F107" s="4">
        <v>830000</v>
      </c>
      <c r="G107" s="5">
        <v>332000</v>
      </c>
      <c r="H107" s="5">
        <v>498000</v>
      </c>
      <c r="I107" s="1" t="str">
        <f t="shared" si="14"/>
        <v>1.00</v>
      </c>
      <c r="J107" s="1" t="str">
        <f t="shared" si="15"/>
        <v>台</v>
      </c>
    </row>
    <row r="108" spans="1:10" ht="15.95" customHeight="1">
      <c r="A108" s="1" t="str">
        <f t="shared" si="18"/>
        <v>物品</v>
      </c>
      <c r="B108" s="1" t="str">
        <f>"426030010015"</f>
        <v>426030010015</v>
      </c>
      <c r="C108" s="1" t="str">
        <f t="shared" si="16"/>
        <v>移動無線　車載型</v>
      </c>
      <c r="D108" s="1" t="str">
        <f t="shared" si="17"/>
        <v>10</v>
      </c>
      <c r="E108" s="3">
        <v>42072</v>
      </c>
      <c r="F108" s="4">
        <v>830000</v>
      </c>
      <c r="G108" s="5">
        <v>332000</v>
      </c>
      <c r="H108" s="5">
        <v>498000</v>
      </c>
      <c r="I108" s="1" t="str">
        <f t="shared" si="14"/>
        <v>1.00</v>
      </c>
      <c r="J108" s="1" t="str">
        <f t="shared" si="15"/>
        <v>台</v>
      </c>
    </row>
    <row r="109" spans="1:10" ht="15.95" customHeight="1">
      <c r="A109" s="1" t="str">
        <f t="shared" si="18"/>
        <v>物品</v>
      </c>
      <c r="B109" s="1" t="str">
        <f>"426030010016"</f>
        <v>426030010016</v>
      </c>
      <c r="C109" s="1" t="str">
        <f t="shared" si="16"/>
        <v>移動無線　車載型</v>
      </c>
      <c r="D109" s="1" t="str">
        <f t="shared" si="17"/>
        <v>10</v>
      </c>
      <c r="E109" s="3">
        <v>42072</v>
      </c>
      <c r="F109" s="4">
        <v>830000</v>
      </c>
      <c r="G109" s="5">
        <v>332000</v>
      </c>
      <c r="H109" s="5">
        <v>498000</v>
      </c>
      <c r="I109" s="1" t="str">
        <f t="shared" si="14"/>
        <v>1.00</v>
      </c>
      <c r="J109" s="1" t="str">
        <f t="shared" si="15"/>
        <v>台</v>
      </c>
    </row>
    <row r="110" spans="1:10" ht="15.95" customHeight="1">
      <c r="A110" s="1" t="str">
        <f t="shared" si="18"/>
        <v>物品</v>
      </c>
      <c r="B110" s="1" t="str">
        <f>"426030010017"</f>
        <v>426030010017</v>
      </c>
      <c r="C110" s="1" t="str">
        <f t="shared" si="16"/>
        <v>移動無線　車載型</v>
      </c>
      <c r="D110" s="1" t="str">
        <f t="shared" si="17"/>
        <v>10</v>
      </c>
      <c r="E110" s="3">
        <v>42072</v>
      </c>
      <c r="F110" s="4">
        <v>830000</v>
      </c>
      <c r="G110" s="5">
        <v>332000</v>
      </c>
      <c r="H110" s="5">
        <v>498000</v>
      </c>
      <c r="I110" s="1" t="str">
        <f t="shared" si="14"/>
        <v>1.00</v>
      </c>
      <c r="J110" s="1" t="str">
        <f t="shared" si="15"/>
        <v>台</v>
      </c>
    </row>
    <row r="111" spans="1:10" ht="15.95" customHeight="1">
      <c r="A111" s="1" t="str">
        <f t="shared" si="18"/>
        <v>物品</v>
      </c>
      <c r="B111" s="1" t="str">
        <f>"426030010018"</f>
        <v>426030010018</v>
      </c>
      <c r="C111" s="1" t="str">
        <f t="shared" si="16"/>
        <v>移動無線　車載型</v>
      </c>
      <c r="D111" s="1" t="str">
        <f t="shared" si="17"/>
        <v>10</v>
      </c>
      <c r="E111" s="3">
        <v>42072</v>
      </c>
      <c r="F111" s="4">
        <v>830000</v>
      </c>
      <c r="G111" s="5">
        <v>332000</v>
      </c>
      <c r="H111" s="5">
        <v>498000</v>
      </c>
      <c r="I111" s="1" t="str">
        <f t="shared" si="14"/>
        <v>1.00</v>
      </c>
      <c r="J111" s="1" t="str">
        <f t="shared" si="15"/>
        <v>台</v>
      </c>
    </row>
    <row r="112" spans="1:10" ht="15.95" customHeight="1">
      <c r="A112" s="1" t="str">
        <f t="shared" si="18"/>
        <v>物品</v>
      </c>
      <c r="B112" s="1" t="str">
        <f>"426030010019"</f>
        <v>426030010019</v>
      </c>
      <c r="C112" s="1" t="str">
        <f t="shared" si="16"/>
        <v>移動無線　車載型</v>
      </c>
      <c r="D112" s="1" t="str">
        <f t="shared" si="17"/>
        <v>10</v>
      </c>
      <c r="E112" s="3">
        <v>42072</v>
      </c>
      <c r="F112" s="4">
        <v>830000</v>
      </c>
      <c r="G112" s="5">
        <v>332000</v>
      </c>
      <c r="H112" s="5">
        <v>498000</v>
      </c>
      <c r="I112" s="1" t="str">
        <f t="shared" si="14"/>
        <v>1.00</v>
      </c>
      <c r="J112" s="1" t="str">
        <f t="shared" si="15"/>
        <v>台</v>
      </c>
    </row>
    <row r="113" spans="1:10" ht="15.95" customHeight="1">
      <c r="A113" s="1" t="str">
        <f t="shared" si="18"/>
        <v>物品</v>
      </c>
      <c r="B113" s="1" t="str">
        <f>"426030010020"</f>
        <v>426030010020</v>
      </c>
      <c r="C113" s="1" t="str">
        <f t="shared" si="16"/>
        <v>移動無線　車載型</v>
      </c>
      <c r="D113" s="1" t="str">
        <f t="shared" si="17"/>
        <v>10</v>
      </c>
      <c r="E113" s="3">
        <v>42072</v>
      </c>
      <c r="F113" s="4">
        <v>830000</v>
      </c>
      <c r="G113" s="5">
        <v>332000</v>
      </c>
      <c r="H113" s="5">
        <v>498000</v>
      </c>
      <c r="I113" s="1" t="str">
        <f t="shared" si="14"/>
        <v>1.00</v>
      </c>
      <c r="J113" s="1" t="str">
        <f t="shared" si="15"/>
        <v>台</v>
      </c>
    </row>
    <row r="114" spans="1:10" ht="15.95" customHeight="1">
      <c r="A114" s="1" t="str">
        <f t="shared" si="18"/>
        <v>物品</v>
      </c>
      <c r="B114" s="1" t="str">
        <f>"426030010021"</f>
        <v>426030010021</v>
      </c>
      <c r="C114" s="1" t="str">
        <f t="shared" si="16"/>
        <v>移動無線　車載型</v>
      </c>
      <c r="D114" s="1" t="str">
        <f t="shared" si="17"/>
        <v>10</v>
      </c>
      <c r="E114" s="3">
        <v>42072</v>
      </c>
      <c r="F114" s="4">
        <v>830000</v>
      </c>
      <c r="G114" s="5">
        <v>332000</v>
      </c>
      <c r="H114" s="5">
        <v>498000</v>
      </c>
      <c r="I114" s="1" t="str">
        <f t="shared" si="14"/>
        <v>1.00</v>
      </c>
      <c r="J114" s="1" t="str">
        <f t="shared" si="15"/>
        <v>台</v>
      </c>
    </row>
    <row r="115" spans="1:10" ht="15.95" customHeight="1">
      <c r="A115" s="1" t="str">
        <f t="shared" si="18"/>
        <v>物品</v>
      </c>
      <c r="B115" s="1" t="str">
        <f>"426030010022"</f>
        <v>426030010022</v>
      </c>
      <c r="C115" s="1" t="str">
        <f t="shared" si="16"/>
        <v>移動無線　車載型</v>
      </c>
      <c r="D115" s="1" t="str">
        <f t="shared" si="17"/>
        <v>10</v>
      </c>
      <c r="E115" s="3">
        <v>42072</v>
      </c>
      <c r="F115" s="4">
        <v>830000</v>
      </c>
      <c r="G115" s="5">
        <v>332000</v>
      </c>
      <c r="H115" s="5">
        <v>498000</v>
      </c>
      <c r="I115" s="1" t="str">
        <f t="shared" si="14"/>
        <v>1.00</v>
      </c>
      <c r="J115" s="1" t="str">
        <f t="shared" si="15"/>
        <v>台</v>
      </c>
    </row>
    <row r="116" spans="1:10" ht="15.95" customHeight="1">
      <c r="A116" s="1" t="str">
        <f t="shared" si="18"/>
        <v>物品</v>
      </c>
      <c r="B116" s="1" t="str">
        <f>"426030010023"</f>
        <v>426030010023</v>
      </c>
      <c r="C116" s="1" t="str">
        <f t="shared" si="16"/>
        <v>移動無線　車載型</v>
      </c>
      <c r="D116" s="1" t="str">
        <f t="shared" si="17"/>
        <v>10</v>
      </c>
      <c r="E116" s="3">
        <v>42072</v>
      </c>
      <c r="F116" s="4">
        <v>830000</v>
      </c>
      <c r="G116" s="5">
        <v>332000</v>
      </c>
      <c r="H116" s="5">
        <v>498000</v>
      </c>
      <c r="I116" s="1" t="str">
        <f t="shared" ref="I116:I147" si="19">"1.00"</f>
        <v>1.00</v>
      </c>
      <c r="J116" s="1" t="str">
        <f t="shared" si="15"/>
        <v>台</v>
      </c>
    </row>
    <row r="117" spans="1:10" ht="15.95" customHeight="1">
      <c r="A117" s="1" t="str">
        <f t="shared" si="18"/>
        <v>物品</v>
      </c>
      <c r="B117" s="1" t="str">
        <f>"426030010024"</f>
        <v>426030010024</v>
      </c>
      <c r="C117" s="1" t="str">
        <f t="shared" si="16"/>
        <v>移動無線　車載型</v>
      </c>
      <c r="D117" s="1" t="str">
        <f t="shared" si="17"/>
        <v>10</v>
      </c>
      <c r="E117" s="3">
        <v>42072</v>
      </c>
      <c r="F117" s="4">
        <v>830000</v>
      </c>
      <c r="G117" s="5">
        <v>332000</v>
      </c>
      <c r="H117" s="5">
        <v>498000</v>
      </c>
      <c r="I117" s="1" t="str">
        <f t="shared" si="19"/>
        <v>1.00</v>
      </c>
      <c r="J117" s="1" t="str">
        <f t="shared" si="15"/>
        <v>台</v>
      </c>
    </row>
    <row r="118" spans="1:10" ht="15.95" customHeight="1">
      <c r="A118" s="1" t="str">
        <f t="shared" si="18"/>
        <v>物品</v>
      </c>
      <c r="B118" s="1" t="str">
        <f>"426030010025"</f>
        <v>426030010025</v>
      </c>
      <c r="C118" s="1" t="str">
        <f t="shared" si="16"/>
        <v>移動無線　車載型</v>
      </c>
      <c r="D118" s="1" t="str">
        <f t="shared" si="17"/>
        <v>10</v>
      </c>
      <c r="E118" s="3">
        <v>42072</v>
      </c>
      <c r="F118" s="4">
        <v>830000</v>
      </c>
      <c r="G118" s="5">
        <v>332000</v>
      </c>
      <c r="H118" s="5">
        <v>498000</v>
      </c>
      <c r="I118" s="1" t="str">
        <f t="shared" si="19"/>
        <v>1.00</v>
      </c>
      <c r="J118" s="1" t="str">
        <f t="shared" si="15"/>
        <v>台</v>
      </c>
    </row>
    <row r="119" spans="1:10" ht="15.95" customHeight="1">
      <c r="A119" s="1" t="str">
        <f t="shared" si="18"/>
        <v>物品</v>
      </c>
      <c r="B119" s="1" t="str">
        <f>"426030010026"</f>
        <v>426030010026</v>
      </c>
      <c r="C119" s="1" t="str">
        <f t="shared" si="16"/>
        <v>移動無線　車載型</v>
      </c>
      <c r="D119" s="1" t="str">
        <f t="shared" si="17"/>
        <v>10</v>
      </c>
      <c r="E119" s="3">
        <v>42072</v>
      </c>
      <c r="F119" s="4">
        <v>830000</v>
      </c>
      <c r="G119" s="5">
        <v>332000</v>
      </c>
      <c r="H119" s="5">
        <v>498000</v>
      </c>
      <c r="I119" s="1" t="str">
        <f t="shared" si="19"/>
        <v>1.00</v>
      </c>
      <c r="J119" s="1" t="str">
        <f t="shared" si="15"/>
        <v>台</v>
      </c>
    </row>
    <row r="120" spans="1:10" ht="15.95" customHeight="1">
      <c r="A120" s="1" t="str">
        <f t="shared" si="18"/>
        <v>物品</v>
      </c>
      <c r="B120" s="1" t="str">
        <f>"426030010027"</f>
        <v>426030010027</v>
      </c>
      <c r="C120" s="1" t="str">
        <f t="shared" si="16"/>
        <v>移動無線　車載型</v>
      </c>
      <c r="D120" s="1" t="str">
        <f t="shared" si="17"/>
        <v>10</v>
      </c>
      <c r="E120" s="3">
        <v>42072</v>
      </c>
      <c r="F120" s="4">
        <v>830000</v>
      </c>
      <c r="G120" s="5">
        <v>332000</v>
      </c>
      <c r="H120" s="5">
        <v>498000</v>
      </c>
      <c r="I120" s="1" t="str">
        <f t="shared" si="19"/>
        <v>1.00</v>
      </c>
      <c r="J120" s="1" t="str">
        <f t="shared" si="15"/>
        <v>台</v>
      </c>
    </row>
    <row r="121" spans="1:10" ht="15.95" customHeight="1">
      <c r="A121" s="1" t="str">
        <f t="shared" si="18"/>
        <v>物品</v>
      </c>
      <c r="B121" s="1" t="str">
        <f>"426030010028"</f>
        <v>426030010028</v>
      </c>
      <c r="C121" s="1" t="str">
        <f t="shared" si="16"/>
        <v>移動無線　車載型</v>
      </c>
      <c r="D121" s="1" t="str">
        <f t="shared" si="17"/>
        <v>10</v>
      </c>
      <c r="E121" s="3">
        <v>42072</v>
      </c>
      <c r="F121" s="4">
        <v>830000</v>
      </c>
      <c r="G121" s="5">
        <v>332000</v>
      </c>
      <c r="H121" s="5">
        <v>498000</v>
      </c>
      <c r="I121" s="1" t="str">
        <f t="shared" si="19"/>
        <v>1.00</v>
      </c>
      <c r="J121" s="1" t="str">
        <f t="shared" si="15"/>
        <v>台</v>
      </c>
    </row>
    <row r="122" spans="1:10" ht="15.95" customHeight="1">
      <c r="A122" s="1" t="str">
        <f t="shared" si="18"/>
        <v>物品</v>
      </c>
      <c r="B122" s="1" t="str">
        <f>"426030010029"</f>
        <v>426030010029</v>
      </c>
      <c r="C122" s="1" t="str">
        <f t="shared" si="16"/>
        <v>移動無線　車載型</v>
      </c>
      <c r="D122" s="1" t="str">
        <f t="shared" si="17"/>
        <v>10</v>
      </c>
      <c r="E122" s="3">
        <v>42072</v>
      </c>
      <c r="F122" s="4">
        <v>830000</v>
      </c>
      <c r="G122" s="5">
        <v>332000</v>
      </c>
      <c r="H122" s="5">
        <v>498000</v>
      </c>
      <c r="I122" s="1" t="str">
        <f t="shared" si="19"/>
        <v>1.00</v>
      </c>
      <c r="J122" s="1" t="str">
        <f t="shared" si="15"/>
        <v>台</v>
      </c>
    </row>
    <row r="123" spans="1:10" ht="15.95" customHeight="1">
      <c r="A123" s="1" t="str">
        <f t="shared" si="18"/>
        <v>物品</v>
      </c>
      <c r="B123" s="1" t="str">
        <f>"426030010030"</f>
        <v>426030010030</v>
      </c>
      <c r="C123" s="1" t="str">
        <f t="shared" si="16"/>
        <v>移動無線　車載型</v>
      </c>
      <c r="D123" s="1" t="str">
        <f t="shared" si="17"/>
        <v>10</v>
      </c>
      <c r="E123" s="3">
        <v>42072</v>
      </c>
      <c r="F123" s="4">
        <v>830000</v>
      </c>
      <c r="G123" s="5">
        <v>332000</v>
      </c>
      <c r="H123" s="5">
        <v>498000</v>
      </c>
      <c r="I123" s="1" t="str">
        <f t="shared" si="19"/>
        <v>1.00</v>
      </c>
      <c r="J123" s="1" t="str">
        <f t="shared" si="15"/>
        <v>台</v>
      </c>
    </row>
    <row r="124" spans="1:10" ht="15.95" customHeight="1">
      <c r="A124" s="1" t="str">
        <f t="shared" si="18"/>
        <v>物品</v>
      </c>
      <c r="B124" s="1" t="str">
        <f>"426030010031"</f>
        <v>426030010031</v>
      </c>
      <c r="C124" s="1" t="str">
        <f t="shared" si="16"/>
        <v>移動無線　車載型</v>
      </c>
      <c r="D124" s="1" t="str">
        <f t="shared" si="17"/>
        <v>10</v>
      </c>
      <c r="E124" s="3">
        <v>42072</v>
      </c>
      <c r="F124" s="4">
        <v>830000</v>
      </c>
      <c r="G124" s="5">
        <v>332000</v>
      </c>
      <c r="H124" s="5">
        <v>498000</v>
      </c>
      <c r="I124" s="1" t="str">
        <f t="shared" si="19"/>
        <v>1.00</v>
      </c>
      <c r="J124" s="1" t="str">
        <f t="shared" si="15"/>
        <v>台</v>
      </c>
    </row>
    <row r="125" spans="1:10" ht="15.95" customHeight="1">
      <c r="A125" s="1" t="str">
        <f t="shared" si="18"/>
        <v>物品</v>
      </c>
      <c r="B125" s="1" t="str">
        <f>"426030010032"</f>
        <v>426030010032</v>
      </c>
      <c r="C125" s="1" t="str">
        <f>"移動無線　卓上型"</f>
        <v>移動無線　卓上型</v>
      </c>
      <c r="D125" s="1" t="str">
        <f t="shared" si="17"/>
        <v>10</v>
      </c>
      <c r="E125" s="3">
        <v>42072</v>
      </c>
      <c r="F125" s="4">
        <v>10030000</v>
      </c>
      <c r="G125" s="5">
        <v>4012000</v>
      </c>
      <c r="H125" s="5">
        <v>6018000</v>
      </c>
      <c r="I125" s="1" t="str">
        <f t="shared" si="19"/>
        <v>1.00</v>
      </c>
      <c r="J125" s="1" t="str">
        <f t="shared" si="15"/>
        <v>台</v>
      </c>
    </row>
    <row r="126" spans="1:10" ht="15.95" customHeight="1">
      <c r="A126" s="1" t="str">
        <f t="shared" si="18"/>
        <v>物品</v>
      </c>
      <c r="B126" s="1" t="str">
        <f>"426030010041"</f>
        <v>426030010041</v>
      </c>
      <c r="C126" s="1" t="str">
        <f>"救急自動車"</f>
        <v>救急自動車</v>
      </c>
      <c r="D126" s="1" t="str">
        <f>"5"</f>
        <v>5</v>
      </c>
      <c r="E126" s="3">
        <v>42083</v>
      </c>
      <c r="F126" s="4">
        <v>27648000</v>
      </c>
      <c r="G126" s="5">
        <v>22118400</v>
      </c>
      <c r="H126" s="5">
        <v>5529600</v>
      </c>
      <c r="I126" s="1" t="str">
        <f t="shared" si="19"/>
        <v>1.00</v>
      </c>
      <c r="J126" s="1" t="str">
        <f t="shared" si="15"/>
        <v>台</v>
      </c>
    </row>
    <row r="127" spans="1:10" ht="15.95" customHeight="1">
      <c r="A127" s="1" t="str">
        <f t="shared" si="18"/>
        <v>物品</v>
      </c>
      <c r="B127" s="1" t="str">
        <f>"426030010042"</f>
        <v>426030010042</v>
      </c>
      <c r="C127" s="1" t="str">
        <f>"書棚"</f>
        <v>書棚</v>
      </c>
      <c r="D127" s="1" t="str">
        <f>"15"</f>
        <v>15</v>
      </c>
      <c r="E127" s="3">
        <v>42083</v>
      </c>
      <c r="F127" s="4">
        <v>896000</v>
      </c>
      <c r="G127" s="5">
        <v>240128</v>
      </c>
      <c r="H127" s="5">
        <v>655872</v>
      </c>
      <c r="I127" s="1" t="str">
        <f t="shared" si="19"/>
        <v>1.00</v>
      </c>
      <c r="J127" s="1" t="str">
        <f t="shared" si="15"/>
        <v>台</v>
      </c>
    </row>
    <row r="128" spans="1:10" ht="15.95" customHeight="1">
      <c r="A128" s="1" t="str">
        <f t="shared" si="18"/>
        <v>物品</v>
      </c>
      <c r="B128" s="1" t="str">
        <f>"426030010043"</f>
        <v>426030010043</v>
      </c>
      <c r="C128" s="1" t="str">
        <f>"書棚"</f>
        <v>書棚</v>
      </c>
      <c r="D128" s="1" t="str">
        <f>"15"</f>
        <v>15</v>
      </c>
      <c r="E128" s="3">
        <v>42083</v>
      </c>
      <c r="F128" s="4">
        <v>912000</v>
      </c>
      <c r="G128" s="5">
        <v>244416</v>
      </c>
      <c r="H128" s="5">
        <v>667584</v>
      </c>
      <c r="I128" s="1" t="str">
        <f t="shared" si="19"/>
        <v>1.00</v>
      </c>
      <c r="J128" s="1" t="str">
        <f t="shared" si="15"/>
        <v>台</v>
      </c>
    </row>
    <row r="129" spans="1:10" ht="15.95" customHeight="1">
      <c r="A129" s="1" t="str">
        <f t="shared" si="18"/>
        <v>物品</v>
      </c>
      <c r="B129" s="1" t="str">
        <f>"426030010044"</f>
        <v>426030010044</v>
      </c>
      <c r="C129" s="1" t="str">
        <f>"書棚"</f>
        <v>書棚</v>
      </c>
      <c r="D129" s="1" t="str">
        <f>"15"</f>
        <v>15</v>
      </c>
      <c r="E129" s="3">
        <v>42083</v>
      </c>
      <c r="F129" s="4">
        <v>4000000</v>
      </c>
      <c r="G129" s="5">
        <v>1072000</v>
      </c>
      <c r="H129" s="5">
        <v>2928000</v>
      </c>
      <c r="I129" s="1" t="str">
        <f t="shared" si="19"/>
        <v>1.00</v>
      </c>
      <c r="J129" s="1" t="str">
        <f t="shared" si="15"/>
        <v>台</v>
      </c>
    </row>
    <row r="130" spans="1:10" ht="15.95" customHeight="1">
      <c r="A130" s="1" t="str">
        <f t="shared" ref="A130:A164" si="20">"物品"</f>
        <v>物品</v>
      </c>
      <c r="B130" s="1" t="str">
        <f>"426030010045"</f>
        <v>426030010045</v>
      </c>
      <c r="C130" s="1" t="str">
        <f>"高機能消防指令センター"</f>
        <v>高機能消防指令センター</v>
      </c>
      <c r="D130" s="1" t="str">
        <f>"10"</f>
        <v>10</v>
      </c>
      <c r="E130" s="3">
        <v>42072</v>
      </c>
      <c r="F130" s="4">
        <v>256144524</v>
      </c>
      <c r="G130" s="5">
        <v>102457808</v>
      </c>
      <c r="H130" s="5">
        <v>153686716</v>
      </c>
      <c r="I130" s="1" t="str">
        <f t="shared" si="19"/>
        <v>1.00</v>
      </c>
      <c r="J130" s="1" t="str">
        <f t="shared" si="15"/>
        <v>台</v>
      </c>
    </row>
    <row r="131" spans="1:10" ht="15.95" customHeight="1">
      <c r="A131" s="1" t="str">
        <f t="shared" si="20"/>
        <v>物品</v>
      </c>
      <c r="B131" s="1" t="str">
        <f>"426030010046"</f>
        <v>426030010046</v>
      </c>
      <c r="C131" s="1" t="str">
        <f>"消防救急デジタル無線設備"</f>
        <v>消防救急デジタル無線設備</v>
      </c>
      <c r="D131" s="1" t="str">
        <f>"10"</f>
        <v>10</v>
      </c>
      <c r="E131" s="3">
        <v>42072</v>
      </c>
      <c r="F131" s="4">
        <v>485730500</v>
      </c>
      <c r="G131" s="5">
        <v>194292200</v>
      </c>
      <c r="H131" s="5">
        <v>291438300</v>
      </c>
      <c r="I131" s="1" t="str">
        <f t="shared" si="19"/>
        <v>1.00</v>
      </c>
      <c r="J131" s="1" t="str">
        <f t="shared" si="15"/>
        <v>台</v>
      </c>
    </row>
    <row r="132" spans="1:10" ht="15.95" customHeight="1">
      <c r="A132" s="1" t="str">
        <f t="shared" si="20"/>
        <v>物品</v>
      </c>
      <c r="B132" s="1" t="str">
        <f>"426060010001"</f>
        <v>426060010001</v>
      </c>
      <c r="C132" s="1" t="str">
        <f>"消防ホース洗浄機"</f>
        <v>消防ホース洗浄機</v>
      </c>
      <c r="D132" s="1" t="str">
        <f>"10"</f>
        <v>10</v>
      </c>
      <c r="E132" s="3">
        <v>41808</v>
      </c>
      <c r="F132" s="4">
        <v>2106000</v>
      </c>
      <c r="G132" s="5">
        <v>842400</v>
      </c>
      <c r="H132" s="5">
        <v>1263600</v>
      </c>
      <c r="I132" s="1" t="str">
        <f t="shared" si="19"/>
        <v>1.00</v>
      </c>
      <c r="J132" s="1" t="str">
        <f t="shared" si="15"/>
        <v>台</v>
      </c>
    </row>
    <row r="133" spans="1:10" ht="15.95" customHeight="1">
      <c r="A133" s="1" t="str">
        <f t="shared" si="20"/>
        <v>物品</v>
      </c>
      <c r="B133" s="1" t="str">
        <f>"426060010002"</f>
        <v>426060010002</v>
      </c>
      <c r="C133" s="1" t="str">
        <f>"ホース洗浄機"</f>
        <v>ホース洗浄機</v>
      </c>
      <c r="D133" s="1" t="str">
        <f>"15"</f>
        <v>15</v>
      </c>
      <c r="E133" s="3">
        <v>41809</v>
      </c>
      <c r="F133" s="4">
        <v>2106000</v>
      </c>
      <c r="G133" s="5">
        <v>564408</v>
      </c>
      <c r="H133" s="5">
        <v>1541592</v>
      </c>
      <c r="I133" s="1" t="str">
        <f t="shared" si="19"/>
        <v>1.00</v>
      </c>
      <c r="J133" s="1" t="str">
        <f t="shared" si="15"/>
        <v>台</v>
      </c>
    </row>
    <row r="134" spans="1:10" ht="15.95" customHeight="1">
      <c r="A134" s="1" t="str">
        <f t="shared" si="20"/>
        <v>物品</v>
      </c>
      <c r="B134" s="1" t="str">
        <f>"426080010001"</f>
        <v>426080010001</v>
      </c>
      <c r="C134" s="1" t="str">
        <f>"ビデオ硬性挿管用喉頭鏡"</f>
        <v>ビデオ硬性挿管用喉頭鏡</v>
      </c>
      <c r="D134" s="1" t="str">
        <f>"6"</f>
        <v>6</v>
      </c>
      <c r="E134" s="3">
        <v>41858</v>
      </c>
      <c r="F134" s="4">
        <v>766800</v>
      </c>
      <c r="G134" s="5">
        <v>512220</v>
      </c>
      <c r="H134" s="5">
        <v>254580</v>
      </c>
      <c r="I134" s="1" t="str">
        <f t="shared" si="19"/>
        <v>1.00</v>
      </c>
      <c r="J134" s="1" t="str">
        <f>"個"</f>
        <v>個</v>
      </c>
    </row>
    <row r="135" spans="1:10" ht="15.95" customHeight="1">
      <c r="A135" s="1" t="str">
        <f t="shared" si="20"/>
        <v>物品</v>
      </c>
      <c r="B135" s="1" t="str">
        <f>"426090010002"</f>
        <v>426090010002</v>
      </c>
      <c r="C135" s="1" t="str">
        <f>"ピストル式発射銃　救命索　発射銃"</f>
        <v>ピストル式発射銃　救命索　発射銃</v>
      </c>
      <c r="D135" s="1" t="str">
        <f>"2"</f>
        <v>2</v>
      </c>
      <c r="E135" s="3">
        <v>41911</v>
      </c>
      <c r="F135" s="4">
        <v>799200</v>
      </c>
      <c r="G135" s="5">
        <v>799199</v>
      </c>
      <c r="H135" s="5">
        <v>1</v>
      </c>
      <c r="I135" s="1" t="str">
        <f t="shared" si="19"/>
        <v>1.00</v>
      </c>
      <c r="J135" s="1" t="str">
        <f t="shared" ref="J135:J147" si="21">"台"</f>
        <v>台</v>
      </c>
    </row>
    <row r="136" spans="1:10" ht="15.95" customHeight="1">
      <c r="A136" s="1" t="str">
        <f t="shared" si="20"/>
        <v>物品</v>
      </c>
      <c r="B136" s="1" t="str">
        <f>"427030010003"</f>
        <v>427030010003</v>
      </c>
      <c r="C136" s="1" t="str">
        <f>"スミスマシン"</f>
        <v>スミスマシン</v>
      </c>
      <c r="D136" s="1" t="str">
        <f>"3"</f>
        <v>3</v>
      </c>
      <c r="E136" s="3">
        <v>42451</v>
      </c>
      <c r="F136" s="4">
        <v>1023084</v>
      </c>
      <c r="G136" s="5">
        <v>1023083</v>
      </c>
      <c r="H136" s="5">
        <v>1</v>
      </c>
      <c r="I136" s="1" t="str">
        <f t="shared" si="19"/>
        <v>1.00</v>
      </c>
      <c r="J136" s="1" t="str">
        <f t="shared" si="21"/>
        <v>台</v>
      </c>
    </row>
    <row r="137" spans="1:10" ht="15.95" customHeight="1">
      <c r="A137" s="1" t="str">
        <f t="shared" si="20"/>
        <v>物品</v>
      </c>
      <c r="B137" s="1" t="str">
        <f>"427030010004"</f>
        <v>427030010004</v>
      </c>
      <c r="C137" s="1" t="str">
        <f>"レッグカール"</f>
        <v>レッグカール</v>
      </c>
      <c r="D137" s="1" t="str">
        <f>"3"</f>
        <v>3</v>
      </c>
      <c r="E137" s="3">
        <v>42451</v>
      </c>
      <c r="F137" s="4">
        <v>683100</v>
      </c>
      <c r="G137" s="5">
        <v>683099</v>
      </c>
      <c r="H137" s="5">
        <v>1</v>
      </c>
      <c r="I137" s="1" t="str">
        <f t="shared" si="19"/>
        <v>1.00</v>
      </c>
      <c r="J137" s="1" t="str">
        <f t="shared" si="21"/>
        <v>台</v>
      </c>
    </row>
    <row r="138" spans="1:10" ht="15.95" customHeight="1">
      <c r="A138" s="1" t="str">
        <f t="shared" si="20"/>
        <v>物品</v>
      </c>
      <c r="B138" s="1" t="str">
        <f>"427030010005"</f>
        <v>427030010005</v>
      </c>
      <c r="C138" s="1" t="str">
        <f>"救急自動車"</f>
        <v>救急自動車</v>
      </c>
      <c r="D138" s="1" t="str">
        <f>"5"</f>
        <v>5</v>
      </c>
      <c r="E138" s="3">
        <v>42437</v>
      </c>
      <c r="F138" s="4">
        <v>27540000</v>
      </c>
      <c r="G138" s="5">
        <v>16524000</v>
      </c>
      <c r="H138" s="5">
        <v>11016000</v>
      </c>
      <c r="I138" s="1" t="str">
        <f t="shared" si="19"/>
        <v>1.00</v>
      </c>
      <c r="J138" s="1" t="str">
        <f t="shared" si="21"/>
        <v>台</v>
      </c>
    </row>
    <row r="139" spans="1:10" ht="15.95" customHeight="1">
      <c r="A139" s="1" t="str">
        <f t="shared" si="20"/>
        <v>物品</v>
      </c>
      <c r="B139" s="1" t="str">
        <f>"427030010006"</f>
        <v>427030010006</v>
      </c>
      <c r="C139" s="1" t="str">
        <f>"ポンプ自動車"</f>
        <v>ポンプ自動車</v>
      </c>
      <c r="D139" s="1" t="str">
        <f>"5"</f>
        <v>5</v>
      </c>
      <c r="E139" s="3">
        <v>42437</v>
      </c>
      <c r="F139" s="4">
        <v>24948000</v>
      </c>
      <c r="G139" s="5">
        <v>14968800</v>
      </c>
      <c r="H139" s="5">
        <v>9979200</v>
      </c>
      <c r="I139" s="1" t="str">
        <f t="shared" si="19"/>
        <v>1.00</v>
      </c>
      <c r="J139" s="1" t="str">
        <f t="shared" si="21"/>
        <v>台</v>
      </c>
    </row>
    <row r="140" spans="1:10" ht="15.95" customHeight="1">
      <c r="A140" s="1" t="str">
        <f t="shared" si="20"/>
        <v>物品</v>
      </c>
      <c r="B140" s="1" t="str">
        <f>"427030010007"</f>
        <v>427030010007</v>
      </c>
      <c r="C140" s="1" t="str">
        <f>"バスケット担架"</f>
        <v>バスケット担架</v>
      </c>
      <c r="D140" s="1" t="str">
        <f>"15"</f>
        <v>15</v>
      </c>
      <c r="E140" s="3">
        <v>42460</v>
      </c>
      <c r="F140" s="4">
        <v>578880</v>
      </c>
      <c r="G140" s="5">
        <v>116352</v>
      </c>
      <c r="H140" s="5">
        <v>462528</v>
      </c>
      <c r="I140" s="1" t="str">
        <f t="shared" si="19"/>
        <v>1.00</v>
      </c>
      <c r="J140" s="1" t="str">
        <f t="shared" si="21"/>
        <v>台</v>
      </c>
    </row>
    <row r="141" spans="1:10" ht="15.95" customHeight="1">
      <c r="A141" s="1" t="str">
        <f t="shared" si="20"/>
        <v>物品</v>
      </c>
      <c r="B141" s="1" t="str">
        <f>"427050010001"</f>
        <v>427050010001</v>
      </c>
      <c r="C141" s="1" t="str">
        <f>"プロジェクター"</f>
        <v>プロジェクター</v>
      </c>
      <c r="D141" s="1" t="str">
        <f>"5"</f>
        <v>5</v>
      </c>
      <c r="E141" s="3">
        <v>42152</v>
      </c>
      <c r="F141" s="4">
        <v>734400</v>
      </c>
      <c r="G141" s="5">
        <v>440640</v>
      </c>
      <c r="H141" s="5">
        <v>293760</v>
      </c>
      <c r="I141" s="1" t="str">
        <f t="shared" si="19"/>
        <v>1.00</v>
      </c>
      <c r="J141" s="1" t="str">
        <f t="shared" si="21"/>
        <v>台</v>
      </c>
    </row>
    <row r="142" spans="1:10" ht="15.95" customHeight="1">
      <c r="A142" s="1" t="str">
        <f t="shared" si="20"/>
        <v>物品</v>
      </c>
      <c r="B142" s="1" t="str">
        <f>"427100010001"</f>
        <v>427100010001</v>
      </c>
      <c r="C142" s="1" t="str">
        <f>"高度救急処置訓練人形"</f>
        <v>高度救急処置訓練人形</v>
      </c>
      <c r="D142" s="1" t="str">
        <f>"6"</f>
        <v>6</v>
      </c>
      <c r="E142" s="3">
        <v>42305</v>
      </c>
      <c r="F142" s="4">
        <v>2228040</v>
      </c>
      <c r="G142" s="5">
        <v>1116246</v>
      </c>
      <c r="H142" s="5">
        <v>1111794</v>
      </c>
      <c r="I142" s="1" t="str">
        <f t="shared" si="19"/>
        <v>1.00</v>
      </c>
      <c r="J142" s="1" t="str">
        <f t="shared" si="21"/>
        <v>台</v>
      </c>
    </row>
    <row r="143" spans="1:10" ht="15.95" customHeight="1">
      <c r="A143" s="1" t="str">
        <f t="shared" si="20"/>
        <v>物品</v>
      </c>
      <c r="B143" s="1" t="str">
        <f>"427110010001"</f>
        <v>427110010001</v>
      </c>
      <c r="C143" s="1" t="str">
        <f>"滅菌器"</f>
        <v>滅菌器</v>
      </c>
      <c r="D143" s="1" t="str">
        <f>"4"</f>
        <v>4</v>
      </c>
      <c r="E143" s="3">
        <v>42313</v>
      </c>
      <c r="F143" s="4">
        <v>643680</v>
      </c>
      <c r="G143" s="5">
        <v>482760</v>
      </c>
      <c r="H143" s="5">
        <v>160920</v>
      </c>
      <c r="I143" s="1" t="str">
        <f t="shared" si="19"/>
        <v>1.00</v>
      </c>
      <c r="J143" s="1" t="str">
        <f t="shared" si="21"/>
        <v>台</v>
      </c>
    </row>
    <row r="144" spans="1:10" ht="15.95" customHeight="1">
      <c r="A144" s="1" t="str">
        <f t="shared" si="20"/>
        <v>物品</v>
      </c>
      <c r="B144" s="1" t="str">
        <f>"427110010002"</f>
        <v>427110010002</v>
      </c>
      <c r="C144" s="1" t="str">
        <f>"滅菌器"</f>
        <v>滅菌器</v>
      </c>
      <c r="D144" s="1" t="str">
        <f>"4"</f>
        <v>4</v>
      </c>
      <c r="E144" s="3">
        <v>42321</v>
      </c>
      <c r="F144" s="4">
        <v>610200</v>
      </c>
      <c r="G144" s="5">
        <v>457650</v>
      </c>
      <c r="H144" s="5">
        <v>152550</v>
      </c>
      <c r="I144" s="1" t="str">
        <f t="shared" si="19"/>
        <v>1.00</v>
      </c>
      <c r="J144" s="1" t="str">
        <f t="shared" si="21"/>
        <v>台</v>
      </c>
    </row>
    <row r="145" spans="1:10" ht="15.95" customHeight="1">
      <c r="A145" s="1" t="str">
        <f t="shared" si="20"/>
        <v>物品</v>
      </c>
      <c r="B145" s="1" t="str">
        <f>"427110010003"</f>
        <v>427110010003</v>
      </c>
      <c r="C145" s="1" t="str">
        <f>"滅菌器"</f>
        <v>滅菌器</v>
      </c>
      <c r="D145" s="1" t="str">
        <f>"4"</f>
        <v>4</v>
      </c>
      <c r="E145" s="3">
        <v>42321</v>
      </c>
      <c r="F145" s="4">
        <v>610200</v>
      </c>
      <c r="G145" s="5">
        <v>457650</v>
      </c>
      <c r="H145" s="5">
        <v>152550</v>
      </c>
      <c r="I145" s="1" t="str">
        <f t="shared" si="19"/>
        <v>1.00</v>
      </c>
      <c r="J145" s="1" t="str">
        <f t="shared" si="21"/>
        <v>台</v>
      </c>
    </row>
    <row r="146" spans="1:10" ht="15.95" customHeight="1">
      <c r="A146" s="1" t="str">
        <f t="shared" si="20"/>
        <v>物品</v>
      </c>
      <c r="B146" s="1" t="str">
        <f>"427110010004"</f>
        <v>427110010004</v>
      </c>
      <c r="C146" s="1" t="str">
        <f>"オゾン除染器"</f>
        <v>オゾン除染器</v>
      </c>
      <c r="D146" s="1" t="str">
        <f>"4"</f>
        <v>4</v>
      </c>
      <c r="E146" s="3">
        <v>42326</v>
      </c>
      <c r="F146" s="4">
        <v>698760</v>
      </c>
      <c r="G146" s="5">
        <v>524070</v>
      </c>
      <c r="H146" s="5">
        <v>174690</v>
      </c>
      <c r="I146" s="1" t="str">
        <f t="shared" si="19"/>
        <v>1.00</v>
      </c>
      <c r="J146" s="1" t="str">
        <f t="shared" si="21"/>
        <v>台</v>
      </c>
    </row>
    <row r="147" spans="1:10" ht="15.95" customHeight="1">
      <c r="A147" s="1" t="str">
        <f t="shared" si="20"/>
        <v>物品</v>
      </c>
      <c r="B147" s="1" t="str">
        <f>"427120010001"</f>
        <v>427120010001</v>
      </c>
      <c r="C147" s="1" t="str">
        <f>"除細動器"</f>
        <v>除細動器</v>
      </c>
      <c r="D147" s="1" t="str">
        <f>"6"</f>
        <v>6</v>
      </c>
      <c r="E147" s="3">
        <v>42354</v>
      </c>
      <c r="F147" s="4">
        <v>1259280</v>
      </c>
      <c r="G147" s="5">
        <v>630897</v>
      </c>
      <c r="H147" s="5">
        <v>628383</v>
      </c>
      <c r="I147" s="1" t="str">
        <f t="shared" si="19"/>
        <v>1.00</v>
      </c>
      <c r="J147" s="1" t="str">
        <f t="shared" si="21"/>
        <v>台</v>
      </c>
    </row>
    <row r="148" spans="1:10" ht="15.95" customHeight="1">
      <c r="A148" s="1" t="str">
        <f t="shared" si="20"/>
        <v>物品</v>
      </c>
      <c r="B148" s="1" t="str">
        <f>"428010010001"</f>
        <v>428010010001</v>
      </c>
      <c r="C148" s="1" t="str">
        <f>"滅菌器"</f>
        <v>滅菌器</v>
      </c>
      <c r="D148" s="1" t="str">
        <f>"4"</f>
        <v>4</v>
      </c>
      <c r="E148" s="3">
        <v>42765</v>
      </c>
      <c r="F148" s="4">
        <v>534600</v>
      </c>
      <c r="G148" s="5">
        <v>267300</v>
      </c>
      <c r="H148" s="5">
        <v>267300</v>
      </c>
      <c r="I148" s="1" t="str">
        <f>""</f>
        <v/>
      </c>
      <c r="J148" s="1" t="str">
        <f>""</f>
        <v/>
      </c>
    </row>
    <row r="149" spans="1:10" ht="15.95" customHeight="1">
      <c r="A149" s="1" t="str">
        <f t="shared" si="20"/>
        <v>物品</v>
      </c>
      <c r="B149" s="1" t="str">
        <f>"428010010002"</f>
        <v>428010010002</v>
      </c>
      <c r="C149" s="1" t="str">
        <f>"高度救急処置訓練人形"</f>
        <v>高度救急処置訓練人形</v>
      </c>
      <c r="D149" s="1" t="str">
        <f>"6"</f>
        <v>6</v>
      </c>
      <c r="E149" s="3">
        <v>42752</v>
      </c>
      <c r="F149" s="4">
        <v>1900800</v>
      </c>
      <c r="G149" s="5">
        <v>634866</v>
      </c>
      <c r="H149" s="5">
        <v>1265934</v>
      </c>
      <c r="I149" s="1" t="str">
        <f>""</f>
        <v/>
      </c>
      <c r="J149" s="1" t="str">
        <f>""</f>
        <v/>
      </c>
    </row>
    <row r="150" spans="1:10" ht="15.95" customHeight="1">
      <c r="A150" s="1" t="str">
        <f t="shared" si="20"/>
        <v>物品</v>
      </c>
      <c r="B150" s="1" t="str">
        <f>"428020010001"</f>
        <v>428020010001</v>
      </c>
      <c r="C150" s="1" t="str">
        <f>"化学消防ポンプ車"</f>
        <v>化学消防ポンプ車</v>
      </c>
      <c r="D150" s="1" t="str">
        <f>"5"</f>
        <v>5</v>
      </c>
      <c r="E150" s="3">
        <v>42783</v>
      </c>
      <c r="F150" s="4">
        <v>66420000</v>
      </c>
      <c r="G150" s="5">
        <v>26568000</v>
      </c>
      <c r="H150" s="5">
        <v>39852000</v>
      </c>
      <c r="I150" s="1" t="str">
        <f>""</f>
        <v/>
      </c>
      <c r="J150" s="1" t="str">
        <f>""</f>
        <v/>
      </c>
    </row>
    <row r="151" spans="1:10" ht="15.95" customHeight="1">
      <c r="A151" s="1" t="str">
        <f t="shared" si="20"/>
        <v>物品</v>
      </c>
      <c r="B151" s="1" t="str">
        <f>"428030010001"</f>
        <v>428030010001</v>
      </c>
      <c r="C151" s="1" t="str">
        <f>"総務連絡車(その他)"</f>
        <v>総務連絡車(その他)</v>
      </c>
      <c r="D151" s="1" t="str">
        <f>"6"</f>
        <v>6</v>
      </c>
      <c r="E151" s="3">
        <v>42796</v>
      </c>
      <c r="F151" s="4">
        <v>2797200</v>
      </c>
      <c r="G151" s="5">
        <v>934264</v>
      </c>
      <c r="H151" s="5">
        <v>1862936</v>
      </c>
      <c r="I151" s="1" t="str">
        <f>""</f>
        <v/>
      </c>
      <c r="J151" s="1" t="str">
        <f>""</f>
        <v/>
      </c>
    </row>
    <row r="152" spans="1:10" ht="15.95" customHeight="1">
      <c r="A152" s="1" t="str">
        <f t="shared" si="20"/>
        <v>物品</v>
      </c>
      <c r="B152" s="1" t="str">
        <f>"428120010001"</f>
        <v>428120010001</v>
      </c>
      <c r="C152" s="1" t="str">
        <f>"救急自動車"</f>
        <v>救急自動車</v>
      </c>
      <c r="D152" s="1" t="str">
        <f>"5"</f>
        <v>5</v>
      </c>
      <c r="E152" s="3">
        <v>42716</v>
      </c>
      <c r="F152" s="4">
        <v>26676000</v>
      </c>
      <c r="G152" s="5">
        <v>10670400</v>
      </c>
      <c r="H152" s="5">
        <v>16005600</v>
      </c>
      <c r="I152" s="1" t="str">
        <f>""</f>
        <v/>
      </c>
      <c r="J152" s="1" t="str">
        <f>""</f>
        <v/>
      </c>
    </row>
    <row r="153" spans="1:10" ht="15.95" customHeight="1">
      <c r="A153" s="1" t="str">
        <f t="shared" si="20"/>
        <v>物品</v>
      </c>
      <c r="B153" s="1" t="str">
        <f>"428120010002"</f>
        <v>428120010002</v>
      </c>
      <c r="C153" s="1" t="str">
        <f>"救急自動車"</f>
        <v>救急自動車</v>
      </c>
      <c r="D153" s="1" t="str">
        <f>"5"</f>
        <v>5</v>
      </c>
      <c r="E153" s="3">
        <v>42717</v>
      </c>
      <c r="F153" s="4">
        <v>26676000</v>
      </c>
      <c r="G153" s="5">
        <v>10670400</v>
      </c>
      <c r="H153" s="5">
        <v>16005600</v>
      </c>
      <c r="I153" s="1" t="str">
        <f>""</f>
        <v/>
      </c>
      <c r="J153" s="1" t="str">
        <f>""</f>
        <v/>
      </c>
    </row>
    <row r="154" spans="1:10" ht="15.95" customHeight="1">
      <c r="A154" s="1" t="str">
        <f t="shared" si="20"/>
        <v>物品</v>
      </c>
      <c r="B154" s="1" t="str">
        <f>"429020010001"</f>
        <v>429020010001</v>
      </c>
      <c r="C154" s="1" t="str">
        <f>"救助工作自動車"</f>
        <v>救助工作自動車</v>
      </c>
      <c r="D154" s="1" t="str">
        <f>"5"</f>
        <v>5</v>
      </c>
      <c r="E154" s="3">
        <v>43157</v>
      </c>
      <c r="F154" s="4">
        <v>117396000</v>
      </c>
      <c r="G154" s="5">
        <v>23479200</v>
      </c>
      <c r="H154" s="5">
        <v>93916800</v>
      </c>
      <c r="I154" s="1" t="str">
        <f>""</f>
        <v/>
      </c>
      <c r="J154" s="1" t="str">
        <f>""</f>
        <v/>
      </c>
    </row>
    <row r="155" spans="1:10" ht="15.95" customHeight="1">
      <c r="A155" s="1" t="str">
        <f t="shared" si="20"/>
        <v>物品</v>
      </c>
      <c r="B155" s="1" t="str">
        <f>"429090010001"</f>
        <v>429090010001</v>
      </c>
      <c r="C155" s="1" t="str">
        <f>"滅菌器"</f>
        <v>滅菌器</v>
      </c>
      <c r="D155" s="1" t="str">
        <f>"4"</f>
        <v>4</v>
      </c>
      <c r="E155" s="3">
        <v>42990</v>
      </c>
      <c r="F155" s="4">
        <v>588600</v>
      </c>
      <c r="G155" s="5">
        <v>147150</v>
      </c>
      <c r="H155" s="5">
        <v>441450</v>
      </c>
      <c r="I155" s="1" t="str">
        <f>""</f>
        <v/>
      </c>
      <c r="J155" s="1" t="str">
        <f>""</f>
        <v/>
      </c>
    </row>
    <row r="156" spans="1:10" ht="15.95" customHeight="1">
      <c r="A156" s="1" t="str">
        <f t="shared" si="20"/>
        <v>物品</v>
      </c>
      <c r="B156" s="1" t="str">
        <f>"429090010002"</f>
        <v>429090010002</v>
      </c>
      <c r="C156" s="1" t="str">
        <f>"高度救急処置訓練人形"</f>
        <v>高度救急処置訓練人形</v>
      </c>
      <c r="D156" s="1" t="str">
        <f>"6"</f>
        <v>6</v>
      </c>
      <c r="E156" s="3">
        <v>43007</v>
      </c>
      <c r="F156" s="4">
        <v>1900800</v>
      </c>
      <c r="G156" s="5">
        <v>317433</v>
      </c>
      <c r="H156" s="5">
        <v>1583367</v>
      </c>
      <c r="I156" s="1" t="str">
        <f>""</f>
        <v/>
      </c>
      <c r="J156" s="1" t="str">
        <f>""</f>
        <v/>
      </c>
    </row>
    <row r="157" spans="1:10" ht="15.95" customHeight="1">
      <c r="A157" s="1" t="str">
        <f t="shared" si="20"/>
        <v>物品</v>
      </c>
      <c r="B157" s="1" t="str">
        <f>"429100010001"</f>
        <v>429100010001</v>
      </c>
      <c r="C157" s="1" t="str">
        <f>"消毒器（オゾン水生成装置）"</f>
        <v>消毒器（オゾン水生成装置）</v>
      </c>
      <c r="D157" s="1" t="str">
        <f>"4"</f>
        <v>4</v>
      </c>
      <c r="E157" s="3">
        <v>43039</v>
      </c>
      <c r="F157" s="4">
        <v>702000</v>
      </c>
      <c r="G157" s="5">
        <v>175500</v>
      </c>
      <c r="H157" s="5">
        <v>526500</v>
      </c>
      <c r="I157" s="1" t="str">
        <f>""</f>
        <v/>
      </c>
      <c r="J157" s="1" t="str">
        <f>""</f>
        <v/>
      </c>
    </row>
    <row r="158" spans="1:10" ht="15.95" customHeight="1">
      <c r="A158" s="1" t="str">
        <f t="shared" si="20"/>
        <v>物品</v>
      </c>
      <c r="B158" s="1" t="str">
        <f>"429100010002"</f>
        <v>429100010002</v>
      </c>
      <c r="C158" s="1" t="str">
        <f>"消毒器（オゾン水生成装置）"</f>
        <v>消毒器（オゾン水生成装置）</v>
      </c>
      <c r="D158" s="1" t="str">
        <f>"4"</f>
        <v>4</v>
      </c>
      <c r="E158" s="3">
        <v>43039</v>
      </c>
      <c r="F158" s="4">
        <v>702000</v>
      </c>
      <c r="G158" s="5">
        <v>175500</v>
      </c>
      <c r="H158" s="5">
        <v>526500</v>
      </c>
      <c r="I158" s="1" t="str">
        <f>""</f>
        <v/>
      </c>
      <c r="J158" s="1" t="str">
        <f>""</f>
        <v/>
      </c>
    </row>
    <row r="159" spans="1:10" ht="15.95" customHeight="1">
      <c r="A159" s="1" t="str">
        <f t="shared" si="20"/>
        <v>物品</v>
      </c>
      <c r="B159" s="1" t="str">
        <f>"429120010001"</f>
        <v>429120010001</v>
      </c>
      <c r="C159" s="1" t="str">
        <f>"救急自動車"</f>
        <v>救急自動車</v>
      </c>
      <c r="D159" s="1" t="str">
        <f>"5"</f>
        <v>5</v>
      </c>
      <c r="E159" s="3">
        <v>43094</v>
      </c>
      <c r="F159" s="4">
        <v>27432000</v>
      </c>
      <c r="G159" s="5">
        <v>5486400</v>
      </c>
      <c r="H159" s="5">
        <v>21945600</v>
      </c>
      <c r="I159" s="1" t="str">
        <f>""</f>
        <v/>
      </c>
      <c r="J159" s="1" t="str">
        <f>""</f>
        <v/>
      </c>
    </row>
    <row r="160" spans="1:10" ht="15.95" customHeight="1">
      <c r="A160" s="1" t="str">
        <f t="shared" si="20"/>
        <v>物品</v>
      </c>
      <c r="B160" s="1" t="str">
        <f>"430020010001"</f>
        <v>430020010001</v>
      </c>
      <c r="C160" s="1" t="str">
        <f>"消防ポンプ自動車"</f>
        <v>消防ポンプ自動車</v>
      </c>
      <c r="D160" s="1" t="str">
        <f>"5"</f>
        <v>5</v>
      </c>
      <c r="E160" s="3">
        <v>43523</v>
      </c>
      <c r="F160" s="4">
        <v>39528000</v>
      </c>
      <c r="G160" s="5">
        <v>0</v>
      </c>
      <c r="H160" s="5">
        <v>39528000</v>
      </c>
      <c r="I160" s="1" t="str">
        <f>"1.00"</f>
        <v>1.00</v>
      </c>
      <c r="J160" s="1" t="str">
        <f>"台"</f>
        <v>台</v>
      </c>
    </row>
    <row r="161" spans="1:10" ht="15.95" customHeight="1">
      <c r="A161" s="1" t="str">
        <f t="shared" si="20"/>
        <v>物品</v>
      </c>
      <c r="B161" s="1" t="str">
        <f>"430020010002"</f>
        <v>430020010002</v>
      </c>
      <c r="C161" s="1" t="str">
        <f>"消防資機材搬送車"</f>
        <v>消防資機材搬送車</v>
      </c>
      <c r="D161" s="1" t="str">
        <f>"5"</f>
        <v>5</v>
      </c>
      <c r="E161" s="3">
        <v>43523</v>
      </c>
      <c r="F161" s="4">
        <v>8154000</v>
      </c>
      <c r="G161" s="5">
        <v>0</v>
      </c>
      <c r="H161" s="5">
        <v>8154000</v>
      </c>
      <c r="I161" s="1" t="str">
        <f>"1.00"</f>
        <v>1.00</v>
      </c>
      <c r="J161" s="1" t="str">
        <f>"台"</f>
        <v>台</v>
      </c>
    </row>
    <row r="162" spans="1:10" ht="15.95" customHeight="1">
      <c r="A162" s="1" t="str">
        <f t="shared" si="20"/>
        <v>物品</v>
      </c>
      <c r="B162" s="1" t="str">
        <f>"430020010003"</f>
        <v>430020010003</v>
      </c>
      <c r="C162" s="1" t="str">
        <f>"可搬式小型ポンプ"</f>
        <v>可搬式小型ポンプ</v>
      </c>
      <c r="D162" s="1" t="str">
        <f>"6"</f>
        <v>6</v>
      </c>
      <c r="E162" s="3">
        <v>43523</v>
      </c>
      <c r="F162" s="4">
        <v>756000</v>
      </c>
      <c r="G162" s="5">
        <v>0</v>
      </c>
      <c r="H162" s="5">
        <v>756000</v>
      </c>
      <c r="I162" s="1" t="str">
        <f>"1.00"</f>
        <v>1.00</v>
      </c>
      <c r="J162" s="1" t="str">
        <f>"台"</f>
        <v>台</v>
      </c>
    </row>
    <row r="163" spans="1:10" ht="15.95" customHeight="1">
      <c r="A163" s="1" t="str">
        <f t="shared" si="20"/>
        <v>物品</v>
      </c>
      <c r="B163" s="1" t="str">
        <f>"430030010001"</f>
        <v>430030010001</v>
      </c>
      <c r="C163" s="1" t="str">
        <f>"指令システム機器更新"</f>
        <v>指令システム機器更新</v>
      </c>
      <c r="D163" s="1" t="str">
        <f>"10"</f>
        <v>10</v>
      </c>
      <c r="E163" s="3">
        <v>43532</v>
      </c>
      <c r="F163" s="4">
        <v>4179600</v>
      </c>
      <c r="G163" s="5">
        <v>0</v>
      </c>
      <c r="H163" s="5">
        <v>4179600</v>
      </c>
      <c r="I163" s="1" t="str">
        <f>""</f>
        <v/>
      </c>
      <c r="J163" s="1" t="str">
        <f>""</f>
        <v/>
      </c>
    </row>
    <row r="164" spans="1:10" ht="15.95" customHeight="1">
      <c r="A164" s="1" t="str">
        <f t="shared" si="20"/>
        <v>物品</v>
      </c>
      <c r="B164" s="1" t="str">
        <f>"430100010001"</f>
        <v>430100010001</v>
      </c>
      <c r="C164" s="1" t="str">
        <f>"救急自動車"</f>
        <v>救急自動車</v>
      </c>
      <c r="D164" s="1" t="str">
        <f>"5"</f>
        <v>5</v>
      </c>
      <c r="E164" s="3">
        <v>43384</v>
      </c>
      <c r="F164" s="4">
        <v>27756000</v>
      </c>
      <c r="G164" s="5">
        <v>0</v>
      </c>
      <c r="H164" s="5">
        <v>27756000</v>
      </c>
      <c r="I164" s="1" t="str">
        <f>""</f>
        <v/>
      </c>
      <c r="J164" s="1" t="str">
        <f>""</f>
        <v/>
      </c>
    </row>
    <row r="165" spans="1:10" ht="15.95" customHeight="1">
      <c r="A165" s="1" t="str">
        <f>"ソフトウェア"</f>
        <v>ソフトウェア</v>
      </c>
      <c r="B165" s="1" t="str">
        <f>"428030010002"</f>
        <v>428030010002</v>
      </c>
      <c r="C165" s="1" t="str">
        <f>"ﾌｧｲﾙｻｰﾊﾞｰ等一式購入"</f>
        <v>ﾌｧｲﾙｻｰﾊﾞｰ等一式購入</v>
      </c>
      <c r="D165" s="1" t="str">
        <f>"5"</f>
        <v>5</v>
      </c>
      <c r="E165" s="3">
        <v>42825</v>
      </c>
      <c r="F165" s="4">
        <v>1777356</v>
      </c>
      <c r="G165" s="5">
        <v>710942</v>
      </c>
      <c r="H165" s="5">
        <v>1066414</v>
      </c>
      <c r="I165" s="1" t="str">
        <f>""</f>
        <v/>
      </c>
      <c r="J165" s="1" t="str">
        <f>""</f>
        <v/>
      </c>
    </row>
  </sheetData>
  <autoFilter ref="A2:J2"/>
  <mergeCells count="1">
    <mergeCell ref="A1:H1"/>
  </mergeCells>
  <phoneticPr fontId="18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固定資産公表用資料</vt:lpstr>
      <vt:lpstr>固定資産公表用資料!Print_Titles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平成30年度固定資産台帳</dc:title>
  <dc:creator>淡路広域消防事務組合</dc:creator>
  <cp:lastModifiedBy>YASUI</cp:lastModifiedBy>
  <cp:lastPrinted>2019-07-02T01:40:23Z</cp:lastPrinted>
  <dcterms:created xsi:type="dcterms:W3CDTF">2019-06-28T07:35:58Z</dcterms:created>
  <dcterms:modified xsi:type="dcterms:W3CDTF">2021-03-29T01:41:24Z</dcterms:modified>
</cp:coreProperties>
</file>