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財政係・Desktop\109_公会計\R5（R4決算）\01　固定資産台帳\HP掲載　財務慮類の公表\"/>
    </mc:Choice>
  </mc:AlternateContent>
  <xr:revisionPtr revIDLastSave="0" documentId="13_ncr:1_{014F3D59-C2AC-44D0-845D-2E67E1A58EF0}" xr6:coauthVersionLast="47" xr6:coauthVersionMax="47" xr10:uidLastSave="{00000000-0000-0000-0000-000000000000}"/>
  <bookViews>
    <workbookView xWindow="28680" yWindow="780" windowWidth="19440" windowHeight="14880" xr2:uid="{00000000-000D-0000-FFFF-FFFF00000000}"/>
  </bookViews>
  <sheets>
    <sheet name="固定資産公表用資料" sheetId="1" r:id="rId1"/>
  </sheets>
  <definedNames>
    <definedName name="_xlnm._FilterDatabase" localSheetId="0" hidden="1">固定資産公表用資料!$A$3:$J$181</definedName>
    <definedName name="_xlnm.Print_Area" localSheetId="0">固定資産公表用資料!$A$1:$J$175</definedName>
    <definedName name="_xlnm.Print_Titles" localSheetId="0">固定資産公表用資料!$1:$3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6" i="1" l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J149" i="1"/>
  <c r="J148" i="1"/>
  <c r="J146" i="1"/>
  <c r="J138" i="1"/>
  <c r="J139" i="1"/>
  <c r="J140" i="1"/>
  <c r="J141" i="1"/>
  <c r="J133" i="1"/>
  <c r="J131" i="1"/>
  <c r="J129" i="1"/>
  <c r="J130" i="1"/>
  <c r="C181" i="1"/>
  <c r="C180" i="1"/>
  <c r="C179" i="1"/>
  <c r="C178" i="1"/>
  <c r="C177" i="1"/>
  <c r="C176" i="1"/>
  <c r="C175" i="1"/>
  <c r="C174" i="1"/>
  <c r="C173" i="1"/>
  <c r="C170" i="1"/>
  <c r="C171" i="1"/>
  <c r="C172" i="1"/>
  <c r="C169" i="1"/>
  <c r="C168" i="1"/>
  <c r="C166" i="1"/>
  <c r="C167" i="1"/>
  <c r="C165" i="1"/>
  <c r="C164" i="1"/>
  <c r="C163" i="1"/>
  <c r="C162" i="1"/>
  <c r="C161" i="1"/>
  <c r="C160" i="1"/>
  <c r="C159" i="1"/>
  <c r="C158" i="1"/>
  <c r="C157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44" i="1"/>
  <c r="C143" i="1"/>
  <c r="C133" i="1"/>
  <c r="C134" i="1"/>
  <c r="C135" i="1"/>
  <c r="C136" i="1"/>
  <c r="C137" i="1"/>
  <c r="C138" i="1"/>
  <c r="C139" i="1"/>
  <c r="C140" i="1"/>
  <c r="C141" i="1"/>
  <c r="C142" i="1"/>
  <c r="C129" i="1"/>
  <c r="C130" i="1"/>
  <c r="C131" i="1"/>
  <c r="C132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I181" i="1"/>
  <c r="J181" i="1"/>
  <c r="I180" i="1"/>
  <c r="J180" i="1"/>
  <c r="I179" i="1"/>
  <c r="J179" i="1"/>
  <c r="I178" i="1"/>
  <c r="J178" i="1"/>
  <c r="I177" i="1"/>
  <c r="J177" i="1"/>
  <c r="I176" i="1"/>
  <c r="J176" i="1"/>
  <c r="J175" i="1"/>
  <c r="J174" i="1"/>
  <c r="J173" i="1"/>
  <c r="I172" i="1"/>
  <c r="J172" i="1"/>
  <c r="J169" i="1"/>
  <c r="I168" i="1"/>
  <c r="J168" i="1"/>
  <c r="J167" i="1"/>
  <c r="I165" i="1"/>
  <c r="J165" i="1"/>
  <c r="I164" i="1"/>
  <c r="J164" i="1"/>
  <c r="I163" i="1"/>
  <c r="J163" i="1"/>
  <c r="I162" i="1"/>
  <c r="J162" i="1"/>
  <c r="I161" i="1"/>
  <c r="J161" i="1"/>
  <c r="J160" i="1"/>
  <c r="J159" i="1"/>
  <c r="J158" i="1"/>
  <c r="J157" i="1"/>
  <c r="J156" i="1"/>
  <c r="J144" i="1"/>
  <c r="J143" i="1"/>
  <c r="J142" i="1"/>
  <c r="I132" i="1"/>
  <c r="J132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I116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I34" i="1"/>
  <c r="J34" i="1"/>
  <c r="I33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I15" i="1"/>
  <c r="J15" i="1"/>
  <c r="I14" i="1"/>
  <c r="J14" i="1"/>
  <c r="I13" i="1"/>
  <c r="J13" i="1"/>
  <c r="I12" i="1"/>
  <c r="J12" i="1"/>
  <c r="I11" i="1"/>
  <c r="J11" i="1"/>
  <c r="I10" i="1"/>
  <c r="J10" i="1"/>
  <c r="I9" i="1"/>
  <c r="J9" i="1"/>
  <c r="I8" i="1"/>
  <c r="J8" i="1"/>
  <c r="I7" i="1"/>
  <c r="J7" i="1"/>
  <c r="I6" i="1"/>
  <c r="J6" i="1"/>
  <c r="I5" i="1"/>
  <c r="J5" i="1"/>
  <c r="I4" i="1"/>
  <c r="J4" i="1"/>
  <c r="C3" i="1"/>
</calcChain>
</file>

<file path=xl/sharedStrings.xml><?xml version="1.0" encoding="utf-8"?>
<sst xmlns="http://schemas.openxmlformats.org/spreadsheetml/2006/main" count="23" uniqueCount="16">
  <si>
    <t>取得価額</t>
  </si>
  <si>
    <t>償却累計額</t>
  </si>
  <si>
    <t>帳簿価額</t>
  </si>
  <si>
    <t>式</t>
    <rPh sb="0" eb="1">
      <t>シキ</t>
    </rPh>
    <phoneticPr fontId="18"/>
  </si>
  <si>
    <t>台</t>
  </si>
  <si>
    <t>台</t>
    <phoneticPr fontId="18"/>
  </si>
  <si>
    <t>耐用年数</t>
    <phoneticPr fontId="18"/>
  </si>
  <si>
    <t/>
  </si>
  <si>
    <t>淡路広域消防事務組合　岩屋分署</t>
    <phoneticPr fontId="18"/>
  </si>
  <si>
    <t>淡路広域消防事務組合　南淡分署</t>
    <phoneticPr fontId="18"/>
  </si>
  <si>
    <t>取得年月日</t>
    <rPh sb="0" eb="5">
      <t>シュトクネンガッピ</t>
    </rPh>
    <phoneticPr fontId="18"/>
  </si>
  <si>
    <t>数量</t>
    <rPh sb="0" eb="2">
      <t>スウリョウ</t>
    </rPh>
    <phoneticPr fontId="18"/>
  </si>
  <si>
    <t>単位</t>
    <rPh sb="0" eb="2">
      <t>タンイ</t>
    </rPh>
    <phoneticPr fontId="18"/>
  </si>
  <si>
    <t>勘定科目</t>
    <rPh sb="0" eb="2">
      <t>カンジョウ</t>
    </rPh>
    <rPh sb="2" eb="4">
      <t>カモク</t>
    </rPh>
    <phoneticPr fontId="18"/>
  </si>
  <si>
    <t>淡路広域消防事務組合　固定資産一覧表</t>
    <phoneticPr fontId="18"/>
  </si>
  <si>
    <t>令和5年3月31日現在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</si>
</sst>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m&quot;月&quot;dd&quot;日&quot;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8"/>
      <color theme="1"/>
      <name val="HGSｺﾞｼｯｸM"/>
      <family val="3"/>
      <charset val="128"/>
    </font>
    <font>
      <sz val="6"/>
      <name val="ＭＳ 明朝"/>
      <family val="2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38" fontId="0" fillId="0" borderId="0" xfId="1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0" fillId="0" borderId="0" xfId="1" applyNumberFormat="1" applyFont="1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22" fillId="33" borderId="0" xfId="0" applyFont="1" applyFill="1" applyBorder="1" applyAlignment="1">
      <alignment horizontal="center" vertical="center"/>
    </xf>
    <xf numFmtId="176" fontId="22" fillId="33" borderId="0" xfId="0" applyNumberFormat="1" applyFont="1" applyFill="1" applyBorder="1" applyAlignment="1">
      <alignment horizontal="center" vertical="center"/>
    </xf>
    <xf numFmtId="38" fontId="22" fillId="33" borderId="0" xfId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1"/>
  <sheetViews>
    <sheetView tabSelected="1" topLeftCell="B1" zoomScaleNormal="100" workbookViewId="0">
      <selection sqref="A1:H1"/>
    </sheetView>
  </sheetViews>
  <sheetFormatPr defaultRowHeight="13" x14ac:dyDescent="0.2"/>
  <cols>
    <col min="1" max="1" width="14.1796875" bestFit="1" customWidth="1"/>
    <col min="2" max="2" width="15.08984375" style="5" bestFit="1" customWidth="1"/>
    <col min="3" max="3" width="54.26953125" bestFit="1" customWidth="1"/>
    <col min="4" max="4" width="17.26953125" style="2" customWidth="1"/>
    <col min="5" max="5" width="10.26953125" style="3" customWidth="1"/>
    <col min="6" max="6" width="14.81640625" style="1" customWidth="1"/>
    <col min="7" max="8" width="14.81640625" customWidth="1"/>
    <col min="9" max="9" width="9.26953125" style="5" customWidth="1"/>
    <col min="10" max="10" width="5" customWidth="1"/>
  </cols>
  <sheetData>
    <row r="1" spans="1:10" ht="32.5" customHeight="1" x14ac:dyDescent="0.15">
      <c r="A1" s="9" t="s">
        <v>14</v>
      </c>
      <c r="B1" s="10"/>
      <c r="C1" s="9"/>
      <c r="D1" s="9"/>
      <c r="E1" s="9"/>
      <c r="F1" s="9"/>
      <c r="G1" s="9"/>
      <c r="H1" s="9"/>
      <c r="I1" s="11" t="s">
        <v>15</v>
      </c>
      <c r="J1" s="11"/>
    </row>
    <row r="2" spans="1:10" ht="11" customHeight="1" x14ac:dyDescent="0.2">
      <c r="G2" s="1"/>
      <c r="H2" s="1"/>
    </row>
    <row r="3" spans="1:10" s="15" customFormat="1" ht="15.5" customHeight="1" x14ac:dyDescent="0.2">
      <c r="A3" s="12" t="s">
        <v>13</v>
      </c>
      <c r="B3" s="12" t="str">
        <f>"資産番号"</f>
        <v>資産番号</v>
      </c>
      <c r="C3" s="12" t="str">
        <f>"資産名称"</f>
        <v>資産名称</v>
      </c>
      <c r="D3" s="13" t="s">
        <v>10</v>
      </c>
      <c r="E3" s="12" t="s">
        <v>6</v>
      </c>
      <c r="F3" s="14" t="s">
        <v>0</v>
      </c>
      <c r="G3" s="12" t="s">
        <v>1</v>
      </c>
      <c r="H3" s="12" t="s">
        <v>2</v>
      </c>
      <c r="I3" s="12" t="s">
        <v>11</v>
      </c>
      <c r="J3" s="12" t="s">
        <v>12</v>
      </c>
    </row>
    <row r="4" spans="1:10" ht="15.5" customHeight="1" x14ac:dyDescent="0.2">
      <c r="A4" t="str">
        <f>"建物"</f>
        <v>建物</v>
      </c>
      <c r="B4" s="5" t="str">
        <f>"348030010001"</f>
        <v>348030010001</v>
      </c>
      <c r="C4" t="s">
        <v>8</v>
      </c>
      <c r="D4" s="2">
        <v>27119</v>
      </c>
      <c r="E4" s="4">
        <v>50</v>
      </c>
      <c r="F4" s="1">
        <v>116600000</v>
      </c>
      <c r="G4" s="1">
        <v>114268000</v>
      </c>
      <c r="H4" s="1">
        <v>2332000</v>
      </c>
      <c r="I4" s="5" t="str">
        <f>"423.90"</f>
        <v>423.90</v>
      </c>
      <c r="J4" t="str">
        <f t="shared" ref="J4:J15" si="0">"㎡"</f>
        <v>㎡</v>
      </c>
    </row>
    <row r="5" spans="1:10" ht="15.5" customHeight="1" x14ac:dyDescent="0.2">
      <c r="A5" t="str">
        <f>"建物"</f>
        <v>建物</v>
      </c>
      <c r="B5" s="5" t="str">
        <f>"348030010002"</f>
        <v>348030010002</v>
      </c>
      <c r="C5" t="s">
        <v>9</v>
      </c>
      <c r="D5" s="2">
        <v>27119</v>
      </c>
      <c r="E5" s="4">
        <v>50</v>
      </c>
      <c r="F5" s="1">
        <v>173800000</v>
      </c>
      <c r="G5" s="1">
        <v>170324000</v>
      </c>
      <c r="H5" s="1">
        <v>3476000</v>
      </c>
      <c r="I5" s="5" t="str">
        <f>"632.66"</f>
        <v>632.66</v>
      </c>
      <c r="J5" t="str">
        <f t="shared" si="0"/>
        <v>㎡</v>
      </c>
    </row>
    <row r="6" spans="1:10" ht="15.5" customHeight="1" x14ac:dyDescent="0.2">
      <c r="A6" t="str">
        <f>"建物"</f>
        <v>建物</v>
      </c>
      <c r="B6" s="5" t="str">
        <f>"349030010001"</f>
        <v>349030010001</v>
      </c>
      <c r="C6" t="str">
        <f>"淡路広域消防事務組合　北淡出張所"</f>
        <v>淡路広域消防事務組合　北淡出張所</v>
      </c>
      <c r="D6" s="2">
        <v>27484</v>
      </c>
      <c r="E6" s="4">
        <v>50</v>
      </c>
      <c r="F6" s="1">
        <v>79750000</v>
      </c>
      <c r="G6" s="1">
        <v>76560000</v>
      </c>
      <c r="H6" s="1">
        <v>3190000</v>
      </c>
      <c r="I6" s="5" t="str">
        <f>"290.19"</f>
        <v>290.19</v>
      </c>
      <c r="J6" t="str">
        <f t="shared" si="0"/>
        <v>㎡</v>
      </c>
    </row>
    <row r="7" spans="1:10" ht="15.5" customHeight="1" x14ac:dyDescent="0.2">
      <c r="A7" t="str">
        <f>"建物"</f>
        <v>建物</v>
      </c>
      <c r="B7" s="5" t="str">
        <f>"349030010002"</f>
        <v>349030010002</v>
      </c>
      <c r="C7" t="str">
        <f>"淡路広域消防事務組合　五色出張所"</f>
        <v>淡路広域消防事務組合　五色出張所</v>
      </c>
      <c r="D7" s="2">
        <v>27484</v>
      </c>
      <c r="E7" s="4">
        <v>50</v>
      </c>
      <c r="F7" s="1">
        <v>75900000</v>
      </c>
      <c r="G7" s="1">
        <v>72864000</v>
      </c>
      <c r="H7" s="1">
        <v>3036000</v>
      </c>
      <c r="I7" s="5" t="str">
        <f>"276.00"</f>
        <v>276.00</v>
      </c>
      <c r="J7" t="str">
        <f t="shared" si="0"/>
        <v>㎡</v>
      </c>
    </row>
    <row r="8" spans="1:10" ht="15.5" customHeight="1" x14ac:dyDescent="0.2">
      <c r="A8" t="str">
        <f>"建物"</f>
        <v>建物</v>
      </c>
      <c r="B8" s="5" t="str">
        <f>"350030010001"</f>
        <v>350030010001</v>
      </c>
      <c r="C8" t="str">
        <f>"淡路広域消防事務組合　西淡出張所"</f>
        <v>淡路広域消防事務組合　西淡出張所</v>
      </c>
      <c r="D8" s="2">
        <v>27850</v>
      </c>
      <c r="E8" s="4">
        <v>50</v>
      </c>
      <c r="F8" s="1">
        <v>75625000</v>
      </c>
      <c r="G8" s="1">
        <v>71087500</v>
      </c>
      <c r="H8" s="1">
        <v>4537500</v>
      </c>
      <c r="I8" s="5" t="str">
        <f>"275.00"</f>
        <v>275.00</v>
      </c>
      <c r="J8" t="str">
        <f t="shared" si="0"/>
        <v>㎡</v>
      </c>
    </row>
    <row r="9" spans="1:10" ht="15.5" customHeight="1" x14ac:dyDescent="0.2">
      <c r="A9" t="str">
        <f>"一般土地"</f>
        <v>一般土地</v>
      </c>
      <c r="B9" s="5" t="str">
        <f>"350120010001"</f>
        <v>350120010001</v>
      </c>
      <c r="C9" t="str">
        <f t="shared" ref="C9:C12" si="1">"淡路広域消防事務組合　消防本部庁舎(消防ﾋﾞﾙ)用途"</f>
        <v>淡路広域消防事務組合　消防本部庁舎(消防ﾋﾞﾙ)用途</v>
      </c>
      <c r="D9" s="2">
        <v>27752</v>
      </c>
      <c r="E9" s="3" t="s">
        <v>7</v>
      </c>
      <c r="F9" s="1">
        <v>89860356</v>
      </c>
      <c r="G9" s="1">
        <v>0</v>
      </c>
      <c r="H9" s="1">
        <v>89860356</v>
      </c>
      <c r="I9" s="5" t="str">
        <f>"1826.43"</f>
        <v>1826.43</v>
      </c>
      <c r="J9" t="str">
        <f t="shared" si="0"/>
        <v>㎡</v>
      </c>
    </row>
    <row r="10" spans="1:10" ht="15.5" customHeight="1" x14ac:dyDescent="0.2">
      <c r="A10" t="str">
        <f>"一般土地"</f>
        <v>一般土地</v>
      </c>
      <c r="B10" s="5" t="str">
        <f>"350120010002"</f>
        <v>350120010002</v>
      </c>
      <c r="C10" t="str">
        <f t="shared" si="1"/>
        <v>淡路広域消防事務組合　消防本部庁舎(消防ﾋﾞﾙ)用途</v>
      </c>
      <c r="D10" s="2">
        <v>27752</v>
      </c>
      <c r="E10" s="3" t="s">
        <v>7</v>
      </c>
      <c r="F10" s="1">
        <v>391884</v>
      </c>
      <c r="G10" s="1">
        <v>0</v>
      </c>
      <c r="H10" s="1">
        <v>391884</v>
      </c>
      <c r="I10" s="5" t="str">
        <f>"11.56"</f>
        <v>11.56</v>
      </c>
      <c r="J10" t="str">
        <f t="shared" si="0"/>
        <v>㎡</v>
      </c>
    </row>
    <row r="11" spans="1:10" ht="15.5" customHeight="1" x14ac:dyDescent="0.2">
      <c r="A11" t="str">
        <f>"一般土地"</f>
        <v>一般土地</v>
      </c>
      <c r="B11" s="5" t="str">
        <f>"350120010003"</f>
        <v>350120010003</v>
      </c>
      <c r="C11" t="str">
        <f t="shared" si="1"/>
        <v>淡路広域消防事務組合　消防本部庁舎(消防ﾋﾞﾙ)用途</v>
      </c>
      <c r="D11" s="2">
        <v>27752</v>
      </c>
      <c r="E11" s="3" t="s">
        <v>7</v>
      </c>
      <c r="F11" s="1">
        <v>9926259</v>
      </c>
      <c r="G11" s="1">
        <v>0</v>
      </c>
      <c r="H11" s="1">
        <v>9926259</v>
      </c>
      <c r="I11" s="5" t="str">
        <f>"292.81"</f>
        <v>292.81</v>
      </c>
      <c r="J11" t="str">
        <f t="shared" si="0"/>
        <v>㎡</v>
      </c>
    </row>
    <row r="12" spans="1:10" ht="15.5" customHeight="1" x14ac:dyDescent="0.2">
      <c r="A12" t="str">
        <f>"一般土地"</f>
        <v>一般土地</v>
      </c>
      <c r="B12" s="5" t="str">
        <f>"358020010001"</f>
        <v>358020010001</v>
      </c>
      <c r="C12" t="str">
        <f t="shared" si="1"/>
        <v>淡路広域消防事務組合　消防本部庁舎(消防ﾋﾞﾙ)用途</v>
      </c>
      <c r="D12" s="2">
        <v>30713</v>
      </c>
      <c r="E12" s="3" t="s">
        <v>7</v>
      </c>
      <c r="F12" s="1">
        <v>250428</v>
      </c>
      <c r="G12" s="1">
        <v>0</v>
      </c>
      <c r="H12" s="1">
        <v>250428</v>
      </c>
      <c r="I12" s="5" t="str">
        <f>"5.09"</f>
        <v>5.09</v>
      </c>
      <c r="J12" t="str">
        <f t="shared" si="0"/>
        <v>㎡</v>
      </c>
    </row>
    <row r="13" spans="1:10" ht="15.5" customHeight="1" x14ac:dyDescent="0.2">
      <c r="A13" t="str">
        <f>"建物"</f>
        <v>建物</v>
      </c>
      <c r="B13" s="5" t="str">
        <f>"406090010001"</f>
        <v>406090010001</v>
      </c>
      <c r="C13" t="str">
        <f>"淡路広域消防事務組合　五色出張所　倉庫"</f>
        <v>淡路広域消防事務組合　五色出張所　倉庫</v>
      </c>
      <c r="D13" s="2">
        <v>34607</v>
      </c>
      <c r="E13" s="4">
        <v>31</v>
      </c>
      <c r="F13" s="1">
        <v>2884000</v>
      </c>
      <c r="G13" s="1">
        <v>2664816</v>
      </c>
      <c r="H13" s="1">
        <v>219184</v>
      </c>
      <c r="I13" s="5" t="str">
        <f>"25.75"</f>
        <v>25.75</v>
      </c>
      <c r="J13" t="str">
        <f t="shared" si="0"/>
        <v>㎡</v>
      </c>
    </row>
    <row r="14" spans="1:10" ht="15.5" customHeight="1" x14ac:dyDescent="0.2">
      <c r="A14" t="str">
        <f>"一般土地"</f>
        <v>一般土地</v>
      </c>
      <c r="B14" s="5" t="str">
        <f>"408020010001"</f>
        <v>408020010001</v>
      </c>
      <c r="C14" t="str">
        <f>"淡路広域消防事務組合　消防本部庁舎(消防ﾋﾞﾙ)用途"</f>
        <v>淡路広域消防事務組合　消防本部庁舎(消防ﾋﾞﾙ)用途</v>
      </c>
      <c r="D14" s="2">
        <v>35485</v>
      </c>
      <c r="E14" s="3" t="s">
        <v>7</v>
      </c>
      <c r="F14" s="1">
        <v>1364316</v>
      </c>
      <c r="G14" s="1">
        <v>0</v>
      </c>
      <c r="H14" s="1">
        <v>1364316</v>
      </c>
      <c r="I14" s="5" t="str">
        <f>"27.73"</f>
        <v>27.73</v>
      </c>
      <c r="J14" t="str">
        <f t="shared" si="0"/>
        <v>㎡</v>
      </c>
    </row>
    <row r="15" spans="1:10" ht="15.5" customHeight="1" x14ac:dyDescent="0.2">
      <c r="A15" t="str">
        <f>"建物"</f>
        <v>建物</v>
      </c>
      <c r="B15" s="5" t="str">
        <f>"408030010001"</f>
        <v>408030010001</v>
      </c>
      <c r="C15" t="str">
        <f>"淡路広域消防事務組合　津名一宮分署"</f>
        <v>淡路広域消防事務組合　津名一宮分署</v>
      </c>
      <c r="D15" s="2">
        <v>35515</v>
      </c>
      <c r="E15" s="4">
        <v>50</v>
      </c>
      <c r="F15" s="1">
        <v>132164000</v>
      </c>
      <c r="G15" s="1">
        <v>68725280</v>
      </c>
      <c r="H15" s="1">
        <v>63438720</v>
      </c>
      <c r="I15" s="5" t="str">
        <f>"405.94"</f>
        <v>405.94</v>
      </c>
      <c r="J15" t="str">
        <f t="shared" si="0"/>
        <v>㎡</v>
      </c>
    </row>
    <row r="16" spans="1:10" ht="15.5" customHeight="1" x14ac:dyDescent="0.2">
      <c r="A16" t="str">
        <f t="shared" ref="A16:A22" si="2">"物品"</f>
        <v>物品</v>
      </c>
      <c r="B16" s="5" t="str">
        <f>"410030010001"</f>
        <v>410030010001</v>
      </c>
      <c r="C16" t="str">
        <f>"冷暖房機"</f>
        <v>冷暖房機</v>
      </c>
      <c r="D16" s="2">
        <v>36238</v>
      </c>
      <c r="E16" s="4">
        <v>6</v>
      </c>
      <c r="F16" s="1">
        <v>725240</v>
      </c>
      <c r="G16" s="1">
        <v>725239</v>
      </c>
      <c r="H16" s="1">
        <v>1</v>
      </c>
      <c r="I16" s="6">
        <v>1</v>
      </c>
      <c r="J16" t="str">
        <f>"台"</f>
        <v>台</v>
      </c>
    </row>
    <row r="17" spans="1:10" ht="15.5" customHeight="1" x14ac:dyDescent="0.2">
      <c r="A17" t="str">
        <f t="shared" si="2"/>
        <v>物品</v>
      </c>
      <c r="B17" s="5" t="str">
        <f>"410030010002"</f>
        <v>410030010002</v>
      </c>
      <c r="C17" t="str">
        <f>"冷暖房機"</f>
        <v>冷暖房機</v>
      </c>
      <c r="D17" s="2">
        <v>36238</v>
      </c>
      <c r="E17" s="4">
        <v>6</v>
      </c>
      <c r="F17" s="1">
        <v>570250</v>
      </c>
      <c r="G17" s="1">
        <v>570249</v>
      </c>
      <c r="H17" s="1">
        <v>1</v>
      </c>
      <c r="I17" s="6">
        <v>1</v>
      </c>
      <c r="J17" t="str">
        <f>"台"</f>
        <v>台</v>
      </c>
    </row>
    <row r="18" spans="1:10" ht="15.5" customHeight="1" x14ac:dyDescent="0.2">
      <c r="A18" t="str">
        <f t="shared" si="2"/>
        <v>物品</v>
      </c>
      <c r="B18" s="5" t="str">
        <f>"411030010001"</f>
        <v>411030010001</v>
      </c>
      <c r="C18" t="str">
        <f>"起重機"</f>
        <v>起重機</v>
      </c>
      <c r="D18" s="2">
        <v>36598</v>
      </c>
      <c r="E18" s="4">
        <v>16</v>
      </c>
      <c r="F18" s="1">
        <v>672000</v>
      </c>
      <c r="G18" s="1">
        <v>671999</v>
      </c>
      <c r="H18" s="1">
        <v>1</v>
      </c>
      <c r="I18" s="6">
        <v>1</v>
      </c>
      <c r="J18" t="str">
        <f>"台"</f>
        <v>台</v>
      </c>
    </row>
    <row r="19" spans="1:10" ht="15.5" customHeight="1" x14ac:dyDescent="0.2">
      <c r="A19" t="str">
        <f t="shared" si="2"/>
        <v>物品</v>
      </c>
      <c r="B19" s="5" t="str">
        <f>"413020010001"</f>
        <v>413020010001</v>
      </c>
      <c r="C19" t="str">
        <f>"テント"</f>
        <v>テント</v>
      </c>
      <c r="D19" s="2">
        <v>37302</v>
      </c>
      <c r="E19" s="4">
        <v>14</v>
      </c>
      <c r="F19" s="1">
        <v>1365000</v>
      </c>
      <c r="G19" s="1">
        <v>1364999</v>
      </c>
      <c r="H19" s="1">
        <v>1</v>
      </c>
      <c r="I19" s="6">
        <v>1</v>
      </c>
      <c r="J19" t="str">
        <f>"個"</f>
        <v>個</v>
      </c>
    </row>
    <row r="20" spans="1:10" ht="15.5" customHeight="1" x14ac:dyDescent="0.2">
      <c r="A20" t="str">
        <f t="shared" si="2"/>
        <v>物品</v>
      </c>
      <c r="B20" s="5" t="str">
        <f>"413030010001"</f>
        <v>413030010001</v>
      </c>
      <c r="C20" t="str">
        <f>"消防ホース洗浄機"</f>
        <v>消防ホース洗浄機</v>
      </c>
      <c r="D20" s="2">
        <v>37340</v>
      </c>
      <c r="E20" s="4">
        <v>10</v>
      </c>
      <c r="F20" s="1">
        <v>3035000</v>
      </c>
      <c r="G20" s="1">
        <v>3034999</v>
      </c>
      <c r="H20" s="1">
        <v>1</v>
      </c>
      <c r="I20" s="6">
        <v>1</v>
      </c>
      <c r="J20" t="str">
        <f>"台"</f>
        <v>台</v>
      </c>
    </row>
    <row r="21" spans="1:10" ht="15.5" customHeight="1" x14ac:dyDescent="0.2">
      <c r="A21" t="str">
        <f t="shared" si="2"/>
        <v>物品</v>
      </c>
      <c r="B21" s="5" t="str">
        <f>"413110010002"</f>
        <v>413110010002</v>
      </c>
      <c r="C21" t="str">
        <f>"消防ポンプ自動車"</f>
        <v>消防ポンプ自動車</v>
      </c>
      <c r="D21" s="2">
        <v>37215</v>
      </c>
      <c r="E21" s="4">
        <v>5</v>
      </c>
      <c r="F21" s="1">
        <v>21924000</v>
      </c>
      <c r="G21" s="1">
        <v>21923999</v>
      </c>
      <c r="H21" s="1">
        <v>1</v>
      </c>
      <c r="I21" s="6">
        <v>1</v>
      </c>
      <c r="J21" t="str">
        <f>"台"</f>
        <v>台</v>
      </c>
    </row>
    <row r="22" spans="1:10" ht="15.5" customHeight="1" x14ac:dyDescent="0.2">
      <c r="A22" t="str">
        <f t="shared" si="2"/>
        <v>物品</v>
      </c>
      <c r="B22" s="5" t="str">
        <f>"414010010001"</f>
        <v>414010010001</v>
      </c>
      <c r="C22" t="str">
        <f>"査察車"</f>
        <v>査察車</v>
      </c>
      <c r="D22" s="2">
        <v>37651</v>
      </c>
      <c r="E22" s="4">
        <v>5</v>
      </c>
      <c r="F22" s="1">
        <v>2611812</v>
      </c>
      <c r="G22" s="1">
        <v>2611811</v>
      </c>
      <c r="H22" s="1">
        <v>1</v>
      </c>
      <c r="I22" s="6">
        <v>1</v>
      </c>
      <c r="J22" t="str">
        <f>"台"</f>
        <v>台</v>
      </c>
    </row>
    <row r="23" spans="1:10" ht="15.5" customHeight="1" x14ac:dyDescent="0.2">
      <c r="A23" t="str">
        <f>"その他工作物"</f>
        <v>その他工作物</v>
      </c>
      <c r="B23" s="5" t="str">
        <f>"414070010001"</f>
        <v>414070010001</v>
      </c>
      <c r="C23" t="str">
        <f>"パンザマスト"</f>
        <v>パンザマスト</v>
      </c>
      <c r="D23" s="2">
        <v>37454</v>
      </c>
      <c r="E23" s="4">
        <v>40</v>
      </c>
      <c r="F23" s="1">
        <v>6086000</v>
      </c>
      <c r="G23" s="1">
        <v>3043000</v>
      </c>
      <c r="H23" s="1">
        <v>3043000</v>
      </c>
      <c r="I23" s="6">
        <v>1</v>
      </c>
      <c r="J23" t="str">
        <f>"棟"</f>
        <v>棟</v>
      </c>
    </row>
    <row r="24" spans="1:10" ht="15.5" customHeight="1" x14ac:dyDescent="0.2">
      <c r="A24" t="str">
        <f>"物品"</f>
        <v>物品</v>
      </c>
      <c r="B24" s="5" t="str">
        <f>"414110010001"</f>
        <v>414110010001</v>
      </c>
      <c r="C24" t="str">
        <f>"消防ポンプ自動車"</f>
        <v>消防ポンプ自動車</v>
      </c>
      <c r="D24" s="2">
        <v>37568</v>
      </c>
      <c r="E24" s="4">
        <v>5</v>
      </c>
      <c r="F24" s="1">
        <v>23573000</v>
      </c>
      <c r="G24" s="1">
        <v>23572999</v>
      </c>
      <c r="H24" s="1">
        <v>1</v>
      </c>
      <c r="I24" s="6">
        <v>1</v>
      </c>
      <c r="J24" t="str">
        <f>"台"</f>
        <v>台</v>
      </c>
    </row>
    <row r="25" spans="1:10" ht="15.5" customHeight="1" x14ac:dyDescent="0.2">
      <c r="A25" t="str">
        <f>"物品"</f>
        <v>物品</v>
      </c>
      <c r="B25" s="5" t="str">
        <f>"415020010001"</f>
        <v>415020010001</v>
      </c>
      <c r="C25" t="str">
        <f>"警防車"</f>
        <v>警防車</v>
      </c>
      <c r="D25" s="2">
        <v>38034</v>
      </c>
      <c r="E25" s="4">
        <v>5</v>
      </c>
      <c r="F25" s="1">
        <v>3349920</v>
      </c>
      <c r="G25" s="1">
        <v>3349919</v>
      </c>
      <c r="H25" s="1">
        <v>1</v>
      </c>
      <c r="I25" s="6">
        <v>1</v>
      </c>
      <c r="J25" t="str">
        <f>"台"</f>
        <v>台</v>
      </c>
    </row>
    <row r="26" spans="1:10" ht="15.5" customHeight="1" x14ac:dyDescent="0.2">
      <c r="A26" t="str">
        <f>"その他工作物"</f>
        <v>その他工作物</v>
      </c>
      <c r="B26" s="5" t="str">
        <f>"415070010001"</f>
        <v>415070010001</v>
      </c>
      <c r="C26" t="str">
        <f>"パンザマスト"</f>
        <v>パンザマスト</v>
      </c>
      <c r="D26" s="2">
        <v>37809</v>
      </c>
      <c r="E26" s="4">
        <v>40</v>
      </c>
      <c r="F26" s="1">
        <v>2268000</v>
      </c>
      <c r="G26" s="1">
        <v>1077300</v>
      </c>
      <c r="H26" s="1">
        <v>1190700</v>
      </c>
      <c r="I26" s="6">
        <v>1</v>
      </c>
      <c r="J26" t="str">
        <f>"棟"</f>
        <v>棟</v>
      </c>
    </row>
    <row r="27" spans="1:10" ht="15.5" customHeight="1" x14ac:dyDescent="0.2">
      <c r="A27" t="str">
        <f>"物品"</f>
        <v>物品</v>
      </c>
      <c r="B27" s="5" t="str">
        <f>"415070010002"</f>
        <v>415070010002</v>
      </c>
      <c r="C27" t="str">
        <f>"滅菌器"</f>
        <v>滅菌器</v>
      </c>
      <c r="D27" s="2">
        <v>37804</v>
      </c>
      <c r="E27" s="4">
        <v>4</v>
      </c>
      <c r="F27" s="1">
        <v>567000</v>
      </c>
      <c r="G27" s="1">
        <v>566999</v>
      </c>
      <c r="H27" s="1">
        <v>1</v>
      </c>
      <c r="I27" s="6">
        <v>1</v>
      </c>
      <c r="J27" t="str">
        <f>"個"</f>
        <v>個</v>
      </c>
    </row>
    <row r="28" spans="1:10" ht="15.5" customHeight="1" x14ac:dyDescent="0.2">
      <c r="A28" t="str">
        <f>"物品"</f>
        <v>物品</v>
      </c>
      <c r="B28" s="5" t="str">
        <f>"415110010001"</f>
        <v>415110010001</v>
      </c>
      <c r="C28" t="str">
        <f>"指揮車"</f>
        <v>指揮車</v>
      </c>
      <c r="D28" s="2">
        <v>37932</v>
      </c>
      <c r="E28" s="4">
        <v>5</v>
      </c>
      <c r="F28" s="1">
        <v>3000000</v>
      </c>
      <c r="G28" s="1">
        <v>2999999</v>
      </c>
      <c r="H28" s="1">
        <v>1</v>
      </c>
      <c r="I28" s="6">
        <v>1</v>
      </c>
      <c r="J28" t="str">
        <f>"台"</f>
        <v>台</v>
      </c>
    </row>
    <row r="29" spans="1:10" ht="15.5" customHeight="1" x14ac:dyDescent="0.2">
      <c r="A29" t="str">
        <f>"物品"</f>
        <v>物品</v>
      </c>
      <c r="B29" s="5" t="str">
        <f>"415120010001"</f>
        <v>415120010001</v>
      </c>
      <c r="C29" t="str">
        <f>"夜間暗視装置"</f>
        <v>夜間暗視装置</v>
      </c>
      <c r="D29" s="2">
        <v>37980</v>
      </c>
      <c r="E29" s="4">
        <v>8</v>
      </c>
      <c r="F29" s="1">
        <v>504000</v>
      </c>
      <c r="G29" s="1">
        <v>503999</v>
      </c>
      <c r="H29" s="1">
        <v>1</v>
      </c>
      <c r="I29" s="6">
        <v>1</v>
      </c>
      <c r="J29" t="str">
        <f>"台"</f>
        <v>台</v>
      </c>
    </row>
    <row r="30" spans="1:10" ht="15.5" customHeight="1" x14ac:dyDescent="0.2">
      <c r="A30" t="str">
        <f>"物品"</f>
        <v>物品</v>
      </c>
      <c r="B30" s="5" t="str">
        <f>"416060010001"</f>
        <v>416060010001</v>
      </c>
      <c r="C30" t="str">
        <f>"支援車"</f>
        <v>支援車</v>
      </c>
      <c r="D30" s="2">
        <v>38168</v>
      </c>
      <c r="E30" s="4">
        <v>5</v>
      </c>
      <c r="F30" s="1">
        <v>3381058</v>
      </c>
      <c r="G30" s="1">
        <v>3381057</v>
      </c>
      <c r="H30" s="1">
        <v>1</v>
      </c>
      <c r="I30" s="6">
        <v>1</v>
      </c>
      <c r="J30" t="str">
        <f>"台"</f>
        <v>台</v>
      </c>
    </row>
    <row r="31" spans="1:10" ht="15.5" customHeight="1" x14ac:dyDescent="0.2">
      <c r="A31" t="str">
        <f>"物品"</f>
        <v>物品</v>
      </c>
      <c r="B31" s="5" t="str">
        <f>"416060010002"</f>
        <v>416060010002</v>
      </c>
      <c r="C31" t="str">
        <f>"予防連絡車（その他）"</f>
        <v>予防連絡車（その他）</v>
      </c>
      <c r="D31" s="2">
        <v>38161</v>
      </c>
      <c r="E31" s="4">
        <v>6</v>
      </c>
      <c r="F31" s="1">
        <v>3000000</v>
      </c>
      <c r="G31" s="1">
        <v>2999999</v>
      </c>
      <c r="H31" s="1">
        <v>1</v>
      </c>
      <c r="I31" s="6">
        <v>1</v>
      </c>
      <c r="J31" t="str">
        <f>"台"</f>
        <v>台</v>
      </c>
    </row>
    <row r="32" spans="1:10" ht="15.5" customHeight="1" x14ac:dyDescent="0.2">
      <c r="A32" t="str">
        <f>"その他工作物"</f>
        <v>その他工作物</v>
      </c>
      <c r="B32" s="5" t="str">
        <f>"416120010001"</f>
        <v>416120010001</v>
      </c>
      <c r="C32" t="str">
        <f>"ホースタワー"</f>
        <v>ホースタワー</v>
      </c>
      <c r="D32" s="2">
        <v>38341</v>
      </c>
      <c r="E32" s="4">
        <v>60</v>
      </c>
      <c r="F32" s="1">
        <v>7472000</v>
      </c>
      <c r="G32" s="1">
        <v>2286432</v>
      </c>
      <c r="H32" s="1">
        <v>5185568</v>
      </c>
      <c r="I32" s="6">
        <v>1</v>
      </c>
      <c r="J32" t="str">
        <f>"棟"</f>
        <v>棟</v>
      </c>
    </row>
    <row r="33" spans="1:10" ht="15.5" customHeight="1" x14ac:dyDescent="0.2">
      <c r="A33" t="str">
        <f>"建物"</f>
        <v>建物</v>
      </c>
      <c r="B33" s="5" t="str">
        <f>"417030010001"</f>
        <v>417030010001</v>
      </c>
      <c r="C33" t="str">
        <f>"訓練棟（Ａ棟）"</f>
        <v>訓練棟（Ａ棟）</v>
      </c>
      <c r="D33" s="2">
        <v>38807</v>
      </c>
      <c r="E33" s="4">
        <v>31</v>
      </c>
      <c r="F33" s="1">
        <v>18370800</v>
      </c>
      <c r="G33" s="1">
        <v>10306016</v>
      </c>
      <c r="H33" s="1">
        <v>8064784</v>
      </c>
      <c r="I33" s="5" t="str">
        <f>"164.34"</f>
        <v>164.34</v>
      </c>
      <c r="J33" t="str">
        <f>"㎡"</f>
        <v>㎡</v>
      </c>
    </row>
    <row r="34" spans="1:10" ht="15.5" customHeight="1" x14ac:dyDescent="0.2">
      <c r="A34" t="str">
        <f>"建物"</f>
        <v>建物</v>
      </c>
      <c r="B34" s="5" t="str">
        <f>"417030010002"</f>
        <v>417030010002</v>
      </c>
      <c r="C34" t="str">
        <f>"訓練棟（Ｂ棟）"</f>
        <v>訓練棟（Ｂ棟）</v>
      </c>
      <c r="D34" s="2">
        <v>38807</v>
      </c>
      <c r="E34" s="4">
        <v>31</v>
      </c>
      <c r="F34" s="1">
        <v>6829200</v>
      </c>
      <c r="G34" s="1">
        <v>3831177</v>
      </c>
      <c r="H34" s="1">
        <v>2998023</v>
      </c>
      <c r="I34" s="5" t="str">
        <f>"61.11"</f>
        <v>61.11</v>
      </c>
      <c r="J34" t="str">
        <f>"㎡"</f>
        <v>㎡</v>
      </c>
    </row>
    <row r="35" spans="1:10" ht="15.5" customHeight="1" x14ac:dyDescent="0.2">
      <c r="A35" t="str">
        <f>"物品"</f>
        <v>物品</v>
      </c>
      <c r="B35" s="5" t="str">
        <f>"417050010001"</f>
        <v>417050010001</v>
      </c>
      <c r="C35" t="str">
        <f>"総務連絡車（その他）"</f>
        <v>総務連絡車（その他）</v>
      </c>
      <c r="D35" s="2">
        <v>38492</v>
      </c>
      <c r="E35" s="4">
        <v>6</v>
      </c>
      <c r="F35" s="1">
        <v>2900000</v>
      </c>
      <c r="G35" s="1">
        <v>2899999</v>
      </c>
      <c r="H35" s="1">
        <v>1</v>
      </c>
      <c r="I35" s="7">
        <v>1</v>
      </c>
      <c r="J35" t="str">
        <f>"台"</f>
        <v>台</v>
      </c>
    </row>
    <row r="36" spans="1:10" ht="15.5" customHeight="1" x14ac:dyDescent="0.2">
      <c r="A36" t="str">
        <f>"その他工作物"</f>
        <v>その他工作物</v>
      </c>
      <c r="B36" s="5" t="str">
        <f>"417120010001"</f>
        <v>417120010001</v>
      </c>
      <c r="C36" t="str">
        <f>"ホースタワー"</f>
        <v>ホースタワー</v>
      </c>
      <c r="D36" s="2">
        <v>38706</v>
      </c>
      <c r="E36" s="4">
        <v>60</v>
      </c>
      <c r="F36" s="1">
        <v>13896000</v>
      </c>
      <c r="G36" s="1">
        <v>4015944</v>
      </c>
      <c r="H36" s="1">
        <v>9880056</v>
      </c>
      <c r="I36" s="7">
        <v>1</v>
      </c>
      <c r="J36" t="str">
        <f>"棟"</f>
        <v>棟</v>
      </c>
    </row>
    <row r="37" spans="1:10" ht="15.5" customHeight="1" x14ac:dyDescent="0.2">
      <c r="A37" t="str">
        <f>"物品"</f>
        <v>物品</v>
      </c>
      <c r="B37" s="5" t="str">
        <f>"418020010001"</f>
        <v>418020010001</v>
      </c>
      <c r="C37" t="str">
        <f t="shared" ref="C37:C39" si="3">"積載車（連絡車）"</f>
        <v>積載車（連絡車）</v>
      </c>
      <c r="D37" s="2">
        <v>39136</v>
      </c>
      <c r="E37" s="4">
        <v>4</v>
      </c>
      <c r="F37" s="1">
        <v>1091895</v>
      </c>
      <c r="G37" s="1">
        <v>1091894</v>
      </c>
      <c r="H37" s="1">
        <v>1</v>
      </c>
      <c r="I37" s="7">
        <v>1</v>
      </c>
      <c r="J37" t="str">
        <f>"台"</f>
        <v>台</v>
      </c>
    </row>
    <row r="38" spans="1:10" ht="15.5" customHeight="1" x14ac:dyDescent="0.2">
      <c r="A38" t="str">
        <f>"物品"</f>
        <v>物品</v>
      </c>
      <c r="B38" s="5" t="str">
        <f>"418020010002"</f>
        <v>418020010002</v>
      </c>
      <c r="C38" t="str">
        <f t="shared" si="3"/>
        <v>積載車（連絡車）</v>
      </c>
      <c r="D38" s="2">
        <v>39136</v>
      </c>
      <c r="E38" s="4">
        <v>4</v>
      </c>
      <c r="F38" s="1">
        <v>1091895</v>
      </c>
      <c r="G38" s="1">
        <v>1091894</v>
      </c>
      <c r="H38" s="1">
        <v>1</v>
      </c>
      <c r="I38" s="7">
        <v>1</v>
      </c>
      <c r="J38" t="str">
        <f>"台"</f>
        <v>台</v>
      </c>
    </row>
    <row r="39" spans="1:10" ht="15.5" customHeight="1" x14ac:dyDescent="0.2">
      <c r="A39" t="str">
        <f>"物品"</f>
        <v>物品</v>
      </c>
      <c r="B39" s="5" t="str">
        <f>"418020010003"</f>
        <v>418020010003</v>
      </c>
      <c r="C39" t="str">
        <f t="shared" si="3"/>
        <v>積載車（連絡車）</v>
      </c>
      <c r="D39" s="2">
        <v>39136</v>
      </c>
      <c r="E39" s="4">
        <v>4</v>
      </c>
      <c r="F39" s="1">
        <v>1091895</v>
      </c>
      <c r="G39" s="1">
        <v>1091894</v>
      </c>
      <c r="H39" s="1">
        <v>1</v>
      </c>
      <c r="I39" s="7">
        <v>1</v>
      </c>
      <c r="J39" t="str">
        <f>"台"</f>
        <v>台</v>
      </c>
    </row>
    <row r="40" spans="1:10" ht="15.5" customHeight="1" x14ac:dyDescent="0.2">
      <c r="A40" t="str">
        <f>"物品"</f>
        <v>物品</v>
      </c>
      <c r="B40" s="5" t="str">
        <f>"418030010001"</f>
        <v>418030010001</v>
      </c>
      <c r="C40" t="str">
        <f>"消防ポンプ付工作自動車"</f>
        <v>消防ポンプ付工作自動車</v>
      </c>
      <c r="D40" s="2">
        <v>39164</v>
      </c>
      <c r="E40" s="4">
        <v>5</v>
      </c>
      <c r="F40" s="1">
        <v>47879459</v>
      </c>
      <c r="G40" s="1">
        <v>47879458</v>
      </c>
      <c r="H40" s="1">
        <v>1</v>
      </c>
      <c r="I40" s="7">
        <v>1</v>
      </c>
      <c r="J40" t="str">
        <f>"台"</f>
        <v>台</v>
      </c>
    </row>
    <row r="41" spans="1:10" ht="15.5" customHeight="1" x14ac:dyDescent="0.2">
      <c r="A41" t="str">
        <f>"その他工作物"</f>
        <v>その他工作物</v>
      </c>
      <c r="B41" s="5" t="str">
        <f>"418070010001"</f>
        <v>418070010001</v>
      </c>
      <c r="C41" t="str">
        <f>"パンザマスト"</f>
        <v>パンザマスト</v>
      </c>
      <c r="D41" s="2">
        <v>38927</v>
      </c>
      <c r="E41" s="4">
        <v>40</v>
      </c>
      <c r="F41" s="1">
        <v>2730000</v>
      </c>
      <c r="G41" s="1">
        <v>1092000</v>
      </c>
      <c r="H41" s="1">
        <v>1638000</v>
      </c>
      <c r="I41" s="7">
        <v>1</v>
      </c>
      <c r="J41" t="str">
        <f>"棟"</f>
        <v>棟</v>
      </c>
    </row>
    <row r="42" spans="1:10" ht="15.5" customHeight="1" x14ac:dyDescent="0.2">
      <c r="A42" t="str">
        <f t="shared" ref="A42:A73" si="4">"物品"</f>
        <v>物品</v>
      </c>
      <c r="B42" s="5" t="str">
        <f>"419020010001"</f>
        <v>419020010001</v>
      </c>
      <c r="C42" t="str">
        <f>"積載車（連絡車）"</f>
        <v>積載車（連絡車）</v>
      </c>
      <c r="D42" s="2">
        <v>39486</v>
      </c>
      <c r="E42" s="4">
        <v>4</v>
      </c>
      <c r="F42" s="1">
        <v>1381140</v>
      </c>
      <c r="G42" s="1">
        <v>1381139</v>
      </c>
      <c r="H42" s="1">
        <v>1</v>
      </c>
      <c r="I42" s="7">
        <v>1</v>
      </c>
      <c r="J42" t="str">
        <f>"台"</f>
        <v>台</v>
      </c>
    </row>
    <row r="43" spans="1:10" ht="15.5" customHeight="1" x14ac:dyDescent="0.2">
      <c r="A43" t="str">
        <f t="shared" si="4"/>
        <v>物品</v>
      </c>
      <c r="B43" s="5" t="str">
        <f>"419030010004"</f>
        <v>419030010004</v>
      </c>
      <c r="C43" t="str">
        <f>"テント"</f>
        <v>テント</v>
      </c>
      <c r="D43" s="2">
        <v>39525</v>
      </c>
      <c r="E43" s="4">
        <v>8</v>
      </c>
      <c r="F43" s="1">
        <v>1291000</v>
      </c>
      <c r="G43" s="1">
        <v>1290999</v>
      </c>
      <c r="H43" s="1">
        <v>1</v>
      </c>
      <c r="I43" s="7">
        <v>1</v>
      </c>
      <c r="J43" t="str">
        <f>"個"</f>
        <v>個</v>
      </c>
    </row>
    <row r="44" spans="1:10" ht="15.5" customHeight="1" x14ac:dyDescent="0.2">
      <c r="A44" t="str">
        <f t="shared" si="4"/>
        <v>物品</v>
      </c>
      <c r="B44" s="5" t="str">
        <f>"420030010001"</f>
        <v>420030010001</v>
      </c>
      <c r="C44" t="str">
        <f>"小型動力ポンプ付積載車"</f>
        <v>小型動力ポンプ付積載車</v>
      </c>
      <c r="D44" s="2">
        <v>39881</v>
      </c>
      <c r="E44" s="4">
        <v>5</v>
      </c>
      <c r="F44" s="1">
        <v>8977500</v>
      </c>
      <c r="G44" s="1">
        <v>8977499</v>
      </c>
      <c r="H44" s="1">
        <v>1</v>
      </c>
      <c r="I44" s="7">
        <v>1</v>
      </c>
      <c r="J44" t="str">
        <f>"台"</f>
        <v>台</v>
      </c>
    </row>
    <row r="45" spans="1:10" ht="15.5" customHeight="1" x14ac:dyDescent="0.2">
      <c r="A45" t="str">
        <f t="shared" si="4"/>
        <v>物品</v>
      </c>
      <c r="B45" s="5" t="str">
        <f>"420070010001"</f>
        <v>420070010001</v>
      </c>
      <c r="C45" t="str">
        <f>"コンプレッサー"</f>
        <v>コンプレッサー</v>
      </c>
      <c r="D45" s="2">
        <v>39657</v>
      </c>
      <c r="E45" s="4">
        <v>8</v>
      </c>
      <c r="F45" s="1">
        <v>3318000</v>
      </c>
      <c r="G45" s="1">
        <v>3317999</v>
      </c>
      <c r="H45" s="1">
        <v>1</v>
      </c>
      <c r="I45" s="7">
        <v>1</v>
      </c>
      <c r="J45" t="str">
        <f>"台"</f>
        <v>台</v>
      </c>
    </row>
    <row r="46" spans="1:10" ht="15.5" customHeight="1" x14ac:dyDescent="0.2">
      <c r="A46" t="str">
        <f t="shared" si="4"/>
        <v>物品</v>
      </c>
      <c r="B46" s="5" t="str">
        <f>"420070010002"</f>
        <v>420070010002</v>
      </c>
      <c r="C46" t="str">
        <f>"可搬式小型ポンプ"</f>
        <v>可搬式小型ポンプ</v>
      </c>
      <c r="D46" s="2">
        <v>39643</v>
      </c>
      <c r="E46" s="4">
        <v>6</v>
      </c>
      <c r="F46" s="1">
        <v>658875</v>
      </c>
      <c r="G46" s="1">
        <v>658874</v>
      </c>
      <c r="H46" s="1">
        <v>1</v>
      </c>
      <c r="I46" s="7">
        <v>1</v>
      </c>
      <c r="J46" t="str">
        <f>"台"</f>
        <v>台</v>
      </c>
    </row>
    <row r="47" spans="1:10" ht="15.5" customHeight="1" x14ac:dyDescent="0.2">
      <c r="A47" t="str">
        <f t="shared" si="4"/>
        <v>物品</v>
      </c>
      <c r="B47" s="5" t="str">
        <f>"420090010001"</f>
        <v>420090010001</v>
      </c>
      <c r="C47" t="str">
        <f>"テント"</f>
        <v>テント</v>
      </c>
      <c r="D47" s="2">
        <v>39695</v>
      </c>
      <c r="E47" s="4">
        <v>8</v>
      </c>
      <c r="F47" s="1">
        <v>504000</v>
      </c>
      <c r="G47" s="1">
        <v>503999</v>
      </c>
      <c r="H47" s="1">
        <v>1</v>
      </c>
      <c r="I47" s="7">
        <v>1</v>
      </c>
      <c r="J47" t="str">
        <f>"個"</f>
        <v>個</v>
      </c>
    </row>
    <row r="48" spans="1:10" ht="15.5" customHeight="1" x14ac:dyDescent="0.2">
      <c r="A48" t="str">
        <f t="shared" si="4"/>
        <v>物品</v>
      </c>
      <c r="B48" s="5" t="str">
        <f>"421090010001"</f>
        <v>421090010001</v>
      </c>
      <c r="C48" t="str">
        <f>"積載車（連絡車）"</f>
        <v>積載車（連絡車）</v>
      </c>
      <c r="D48" s="2">
        <v>40084</v>
      </c>
      <c r="E48" s="4">
        <v>4</v>
      </c>
      <c r="F48" s="1">
        <v>1337900</v>
      </c>
      <c r="G48" s="1">
        <v>1337899</v>
      </c>
      <c r="H48" s="1">
        <v>1</v>
      </c>
      <c r="I48" s="7">
        <v>1</v>
      </c>
      <c r="J48" t="str">
        <f>"台"</f>
        <v>台</v>
      </c>
    </row>
    <row r="49" spans="1:10" ht="15.5" customHeight="1" x14ac:dyDescent="0.2">
      <c r="A49" t="str">
        <f t="shared" si="4"/>
        <v>物品</v>
      </c>
      <c r="B49" s="5" t="str">
        <f>"421090010002"</f>
        <v>421090010002</v>
      </c>
      <c r="C49" t="str">
        <f>"積載車（連絡車）"</f>
        <v>積載車（連絡車）</v>
      </c>
      <c r="D49" s="2">
        <v>40084</v>
      </c>
      <c r="E49" s="4">
        <v>4</v>
      </c>
      <c r="F49" s="1">
        <v>1337900</v>
      </c>
      <c r="G49" s="1">
        <v>1337899</v>
      </c>
      <c r="H49" s="1">
        <v>1</v>
      </c>
      <c r="I49" s="7">
        <v>1</v>
      </c>
      <c r="J49" t="str">
        <f>"台"</f>
        <v>台</v>
      </c>
    </row>
    <row r="50" spans="1:10" ht="15.5" customHeight="1" x14ac:dyDescent="0.2">
      <c r="A50" t="str">
        <f t="shared" si="4"/>
        <v>物品</v>
      </c>
      <c r="B50" s="5" t="str">
        <f>"422030010001"</f>
        <v>422030010001</v>
      </c>
      <c r="C50" t="str">
        <f>"滅菌器"</f>
        <v>滅菌器</v>
      </c>
      <c r="D50" s="2">
        <v>40624</v>
      </c>
      <c r="E50" s="4">
        <v>4</v>
      </c>
      <c r="F50" s="1">
        <v>658560</v>
      </c>
      <c r="G50" s="1">
        <v>658559</v>
      </c>
      <c r="H50" s="1">
        <v>1</v>
      </c>
      <c r="I50" s="7">
        <v>1</v>
      </c>
      <c r="J50" t="str">
        <f>"個"</f>
        <v>個</v>
      </c>
    </row>
    <row r="51" spans="1:10" ht="15.5" customHeight="1" x14ac:dyDescent="0.2">
      <c r="A51" t="str">
        <f t="shared" si="4"/>
        <v>物品</v>
      </c>
      <c r="B51" s="5" t="str">
        <f>"422060010001"</f>
        <v>422060010001</v>
      </c>
      <c r="C51" t="str">
        <f>"可搬式小型ポンプ"</f>
        <v>可搬式小型ポンプ</v>
      </c>
      <c r="D51" s="2">
        <v>40359</v>
      </c>
      <c r="E51" s="4">
        <v>6</v>
      </c>
      <c r="F51" s="1">
        <v>627900</v>
      </c>
      <c r="G51" s="1">
        <v>627899</v>
      </c>
      <c r="H51" s="1">
        <v>1</v>
      </c>
      <c r="I51" s="7">
        <v>1</v>
      </c>
      <c r="J51" t="str">
        <f t="shared" ref="J51:J58" si="5">"台"</f>
        <v>台</v>
      </c>
    </row>
    <row r="52" spans="1:10" ht="15.5" customHeight="1" x14ac:dyDescent="0.2">
      <c r="A52" t="str">
        <f t="shared" si="4"/>
        <v>物品</v>
      </c>
      <c r="B52" s="5" t="str">
        <f>"422100010001"</f>
        <v>422100010001</v>
      </c>
      <c r="C52" t="str">
        <f>"防火指導車（その他）"</f>
        <v>防火指導車（その他）</v>
      </c>
      <c r="D52" s="2">
        <v>40478</v>
      </c>
      <c r="E52" s="4">
        <v>6</v>
      </c>
      <c r="F52" s="1">
        <v>1300000</v>
      </c>
      <c r="G52" s="1">
        <v>1299999</v>
      </c>
      <c r="H52" s="1">
        <v>1</v>
      </c>
      <c r="I52" s="7">
        <v>1</v>
      </c>
      <c r="J52" t="str">
        <f t="shared" si="5"/>
        <v>台</v>
      </c>
    </row>
    <row r="53" spans="1:10" ht="15.5" customHeight="1" x14ac:dyDescent="0.2">
      <c r="A53" t="str">
        <f t="shared" si="4"/>
        <v>物品</v>
      </c>
      <c r="B53" s="5" t="str">
        <f>"422100010002"</f>
        <v>422100010002</v>
      </c>
      <c r="C53" t="str">
        <f>"高度救急処置訓練人形"</f>
        <v>高度救急処置訓練人形</v>
      </c>
      <c r="D53" s="2">
        <v>40476</v>
      </c>
      <c r="E53" s="4">
        <v>6</v>
      </c>
      <c r="F53" s="1">
        <v>1624350</v>
      </c>
      <c r="G53" s="1">
        <v>1624349</v>
      </c>
      <c r="H53" s="1">
        <v>1</v>
      </c>
      <c r="I53" s="7">
        <v>1</v>
      </c>
      <c r="J53" t="str">
        <f t="shared" si="5"/>
        <v>台</v>
      </c>
    </row>
    <row r="54" spans="1:10" ht="15.5" customHeight="1" x14ac:dyDescent="0.2">
      <c r="A54" t="str">
        <f t="shared" si="4"/>
        <v>物品</v>
      </c>
      <c r="B54" s="5" t="str">
        <f>"422110010002"</f>
        <v>422110010002</v>
      </c>
      <c r="C54" t="str">
        <f>"三連はしご"</f>
        <v>三連はしご</v>
      </c>
      <c r="D54" s="2">
        <v>40483</v>
      </c>
      <c r="E54" s="4">
        <v>8</v>
      </c>
      <c r="F54" s="1">
        <v>1325730</v>
      </c>
      <c r="G54" s="1">
        <v>1325729</v>
      </c>
      <c r="H54" s="1">
        <v>1</v>
      </c>
      <c r="I54" s="7">
        <v>1</v>
      </c>
      <c r="J54" t="str">
        <f t="shared" si="5"/>
        <v>台</v>
      </c>
    </row>
    <row r="55" spans="1:10" ht="15.5" customHeight="1" x14ac:dyDescent="0.2">
      <c r="A55" t="str">
        <f t="shared" si="4"/>
        <v>物品</v>
      </c>
      <c r="B55" s="5" t="str">
        <f>"423010010001"</f>
        <v>423010010001</v>
      </c>
      <c r="C55" t="str">
        <f>"消防ポンプ自動車"</f>
        <v>消防ポンプ自動車</v>
      </c>
      <c r="D55" s="2">
        <v>40939</v>
      </c>
      <c r="E55" s="4">
        <v>5</v>
      </c>
      <c r="F55" s="1">
        <v>31920000</v>
      </c>
      <c r="G55" s="1">
        <v>31919999</v>
      </c>
      <c r="H55" s="1">
        <v>1</v>
      </c>
      <c r="I55" s="7">
        <v>1</v>
      </c>
      <c r="J55" t="str">
        <f t="shared" si="5"/>
        <v>台</v>
      </c>
    </row>
    <row r="56" spans="1:10" ht="15.5" customHeight="1" x14ac:dyDescent="0.2">
      <c r="A56" t="str">
        <f t="shared" si="4"/>
        <v>物品</v>
      </c>
      <c r="B56" s="5" t="str">
        <f>"423110010001"</f>
        <v>423110010001</v>
      </c>
      <c r="C56" t="str">
        <f>"レスキューフレームセット"</f>
        <v>レスキューフレームセット</v>
      </c>
      <c r="D56" s="2">
        <v>40871</v>
      </c>
      <c r="E56" s="4">
        <v>5</v>
      </c>
      <c r="F56" s="1">
        <v>794999</v>
      </c>
      <c r="G56" s="1">
        <v>794998</v>
      </c>
      <c r="H56" s="1">
        <v>1</v>
      </c>
      <c r="I56" s="7">
        <v>1</v>
      </c>
      <c r="J56" t="str">
        <f t="shared" si="5"/>
        <v>台</v>
      </c>
    </row>
    <row r="57" spans="1:10" ht="15.5" customHeight="1" x14ac:dyDescent="0.2">
      <c r="A57" t="str">
        <f t="shared" si="4"/>
        <v>物品</v>
      </c>
      <c r="B57" s="5" t="str">
        <f>"424010010001"</f>
        <v>424010010001</v>
      </c>
      <c r="C57" t="str">
        <f>"救急自動車"</f>
        <v>救急自動車</v>
      </c>
      <c r="D57" s="2">
        <v>41295</v>
      </c>
      <c r="E57" s="4">
        <v>5</v>
      </c>
      <c r="F57" s="1">
        <v>25200000</v>
      </c>
      <c r="G57" s="1">
        <v>25199999</v>
      </c>
      <c r="H57" s="1">
        <v>1</v>
      </c>
      <c r="I57" s="7">
        <v>1</v>
      </c>
      <c r="J57" t="str">
        <f t="shared" si="5"/>
        <v>台</v>
      </c>
    </row>
    <row r="58" spans="1:10" ht="15.5" customHeight="1" x14ac:dyDescent="0.2">
      <c r="A58" t="str">
        <f t="shared" si="4"/>
        <v>物品</v>
      </c>
      <c r="B58" s="5" t="str">
        <f>"424030010001"</f>
        <v>424030010001</v>
      </c>
      <c r="C58" t="str">
        <f>"除細動器"</f>
        <v>除細動器</v>
      </c>
      <c r="D58" s="2">
        <v>41337</v>
      </c>
      <c r="E58" s="4">
        <v>6</v>
      </c>
      <c r="F58" s="1">
        <v>832650</v>
      </c>
      <c r="G58" s="1">
        <v>832649</v>
      </c>
      <c r="H58" s="1">
        <v>1</v>
      </c>
      <c r="I58" s="7">
        <v>1</v>
      </c>
      <c r="J58" t="str">
        <f t="shared" si="5"/>
        <v>台</v>
      </c>
    </row>
    <row r="59" spans="1:10" ht="15.5" customHeight="1" x14ac:dyDescent="0.2">
      <c r="A59" t="str">
        <f t="shared" si="4"/>
        <v>物品</v>
      </c>
      <c r="B59" s="5" t="str">
        <f>"425010010001"</f>
        <v>425010010001</v>
      </c>
      <c r="C59" t="str">
        <f>"リフトバック空気ジャッキ"</f>
        <v>リフトバック空気ジャッキ</v>
      </c>
      <c r="D59" s="2">
        <v>41668</v>
      </c>
      <c r="E59" s="4">
        <v>10</v>
      </c>
      <c r="F59" s="1">
        <v>1248975</v>
      </c>
      <c r="G59" s="1">
        <v>1124073</v>
      </c>
      <c r="H59" s="1">
        <v>124902</v>
      </c>
      <c r="I59" s="7">
        <v>1</v>
      </c>
      <c r="J59" t="str">
        <f>"個"</f>
        <v>個</v>
      </c>
    </row>
    <row r="60" spans="1:10" ht="15.5" customHeight="1" x14ac:dyDescent="0.2">
      <c r="A60" t="str">
        <f t="shared" si="4"/>
        <v>物品</v>
      </c>
      <c r="B60" s="5" t="str">
        <f>"425030010001"</f>
        <v>425030010001</v>
      </c>
      <c r="C60" t="str">
        <f>"消防ポンプ自動車"</f>
        <v>消防ポンプ自動車</v>
      </c>
      <c r="D60" s="2">
        <v>41714</v>
      </c>
      <c r="E60" s="4">
        <v>5</v>
      </c>
      <c r="F60" s="1">
        <v>34125000</v>
      </c>
      <c r="G60" s="1">
        <v>34124999</v>
      </c>
      <c r="H60" s="1">
        <v>1</v>
      </c>
      <c r="I60" s="7">
        <v>1</v>
      </c>
      <c r="J60" t="str">
        <f>"台"</f>
        <v>台</v>
      </c>
    </row>
    <row r="61" spans="1:10" ht="15.5" customHeight="1" x14ac:dyDescent="0.2">
      <c r="A61" t="str">
        <f t="shared" si="4"/>
        <v>物品</v>
      </c>
      <c r="B61" s="5" t="str">
        <f>"425030010002"</f>
        <v>425030010002</v>
      </c>
      <c r="C61" t="str">
        <f>"消防ポンプ自動車"</f>
        <v>消防ポンプ自動車</v>
      </c>
      <c r="D61" s="2">
        <v>41714</v>
      </c>
      <c r="E61" s="4">
        <v>5</v>
      </c>
      <c r="F61" s="1">
        <v>34125000</v>
      </c>
      <c r="G61" s="1">
        <v>34124999</v>
      </c>
      <c r="H61" s="1">
        <v>1</v>
      </c>
      <c r="I61" s="7">
        <v>1</v>
      </c>
      <c r="J61" t="str">
        <f>"台"</f>
        <v>台</v>
      </c>
    </row>
    <row r="62" spans="1:10" ht="15.5" customHeight="1" x14ac:dyDescent="0.2">
      <c r="A62" t="str">
        <f t="shared" si="4"/>
        <v>物品</v>
      </c>
      <c r="B62" s="5" t="str">
        <f>"425030010003"</f>
        <v>425030010003</v>
      </c>
      <c r="C62" t="str">
        <f>"除細動器"</f>
        <v>除細動器</v>
      </c>
      <c r="D62" s="2">
        <v>41701</v>
      </c>
      <c r="E62" s="4">
        <v>6</v>
      </c>
      <c r="F62" s="1">
        <v>1094100</v>
      </c>
      <c r="G62" s="1">
        <v>1094099</v>
      </c>
      <c r="H62" s="1">
        <v>1</v>
      </c>
      <c r="I62" s="7">
        <v>1</v>
      </c>
      <c r="J62" t="str">
        <f>"台"</f>
        <v>台</v>
      </c>
    </row>
    <row r="63" spans="1:10" ht="15.5" customHeight="1" x14ac:dyDescent="0.2">
      <c r="A63" t="str">
        <f t="shared" si="4"/>
        <v>物品</v>
      </c>
      <c r="B63" s="5" t="str">
        <f>"425070010001"</f>
        <v>425070010001</v>
      </c>
      <c r="C63" t="str">
        <f>"滅菌器"</f>
        <v>滅菌器</v>
      </c>
      <c r="D63" s="2">
        <v>41456</v>
      </c>
      <c r="E63" s="4">
        <v>4</v>
      </c>
      <c r="F63" s="1">
        <v>577500</v>
      </c>
      <c r="G63" s="1">
        <v>577499</v>
      </c>
      <c r="H63" s="1">
        <v>1</v>
      </c>
      <c r="I63" s="7">
        <v>1</v>
      </c>
      <c r="J63" t="str">
        <f>"個"</f>
        <v>個</v>
      </c>
    </row>
    <row r="64" spans="1:10" ht="15.5" customHeight="1" x14ac:dyDescent="0.2">
      <c r="A64" t="str">
        <f t="shared" si="4"/>
        <v>物品</v>
      </c>
      <c r="B64" s="5" t="str">
        <f>"426020010001"</f>
        <v>426020010001</v>
      </c>
      <c r="C64" t="str">
        <f>"オゾン除染器"</f>
        <v>オゾン除染器</v>
      </c>
      <c r="D64" s="2">
        <v>42040</v>
      </c>
      <c r="E64" s="4">
        <v>4</v>
      </c>
      <c r="F64" s="1">
        <v>1885000</v>
      </c>
      <c r="G64" s="1">
        <v>1884999</v>
      </c>
      <c r="H64" s="1">
        <v>1</v>
      </c>
      <c r="I64" s="7">
        <v>1</v>
      </c>
      <c r="J64" t="str">
        <f>"台"</f>
        <v>台</v>
      </c>
    </row>
    <row r="65" spans="1:10" ht="15.5" customHeight="1" x14ac:dyDescent="0.2">
      <c r="A65" t="str">
        <f t="shared" si="4"/>
        <v>物品</v>
      </c>
      <c r="B65" s="5" t="str">
        <f>"426020010002"</f>
        <v>426020010002</v>
      </c>
      <c r="C65" t="str">
        <f>"オゾン除染器"</f>
        <v>オゾン除染器</v>
      </c>
      <c r="D65" s="2">
        <v>42040</v>
      </c>
      <c r="E65" s="4">
        <v>4</v>
      </c>
      <c r="F65" s="1">
        <v>1154000</v>
      </c>
      <c r="G65" s="1">
        <v>1153999</v>
      </c>
      <c r="H65" s="1">
        <v>1</v>
      </c>
      <c r="I65" s="7">
        <v>1</v>
      </c>
      <c r="J65" t="str">
        <f>"台"</f>
        <v>台</v>
      </c>
    </row>
    <row r="66" spans="1:10" ht="15.5" customHeight="1" x14ac:dyDescent="0.2">
      <c r="A66" t="str">
        <f t="shared" si="4"/>
        <v>物品</v>
      </c>
      <c r="B66" s="5" t="str">
        <f>"426030010001"</f>
        <v>426030010001</v>
      </c>
      <c r="C66" t="str">
        <f>"救急自動車"</f>
        <v>救急自動車</v>
      </c>
      <c r="D66" s="2">
        <v>42072</v>
      </c>
      <c r="E66" s="4">
        <v>5</v>
      </c>
      <c r="F66" s="1">
        <v>27648000</v>
      </c>
      <c r="G66" s="1">
        <v>27647999</v>
      </c>
      <c r="H66" s="1">
        <v>1</v>
      </c>
      <c r="I66" s="7">
        <v>1</v>
      </c>
      <c r="J66" t="str">
        <f>"台"</f>
        <v>台</v>
      </c>
    </row>
    <row r="67" spans="1:10" ht="15.5" customHeight="1" x14ac:dyDescent="0.2">
      <c r="A67" t="str">
        <f t="shared" si="4"/>
        <v>物品</v>
      </c>
      <c r="B67" s="5" t="str">
        <f>"426030010002"</f>
        <v>426030010002</v>
      </c>
      <c r="C67" t="str">
        <f>"ブラインド"</f>
        <v>ブラインド</v>
      </c>
      <c r="D67" s="2">
        <v>42079</v>
      </c>
      <c r="E67" s="4">
        <v>8</v>
      </c>
      <c r="F67" s="1">
        <v>621900</v>
      </c>
      <c r="G67" s="1">
        <v>621899</v>
      </c>
      <c r="H67" s="1">
        <v>1</v>
      </c>
      <c r="I67" s="7">
        <v>1</v>
      </c>
      <c r="J67" t="str">
        <f>"個"</f>
        <v>個</v>
      </c>
    </row>
    <row r="68" spans="1:10" ht="15.5" customHeight="1" x14ac:dyDescent="0.2">
      <c r="A68" t="str">
        <f t="shared" si="4"/>
        <v>物品</v>
      </c>
      <c r="B68" s="5" t="str">
        <f>"426030010003"</f>
        <v>426030010003</v>
      </c>
      <c r="C68" t="str">
        <f>"除細動器"</f>
        <v>除細動器</v>
      </c>
      <c r="D68" s="2">
        <v>42072</v>
      </c>
      <c r="E68" s="4">
        <v>6</v>
      </c>
      <c r="F68" s="1">
        <v>1094100</v>
      </c>
      <c r="G68" s="1">
        <v>1094099</v>
      </c>
      <c r="H68" s="1">
        <v>1</v>
      </c>
      <c r="I68" s="7">
        <v>1</v>
      </c>
      <c r="J68" t="str">
        <f t="shared" ref="J68:J113" si="6">"台"</f>
        <v>台</v>
      </c>
    </row>
    <row r="69" spans="1:10" ht="15.5" customHeight="1" x14ac:dyDescent="0.2">
      <c r="A69" t="str">
        <f t="shared" si="4"/>
        <v>物品</v>
      </c>
      <c r="B69" s="5" t="str">
        <f>"426030010004"</f>
        <v>426030010004</v>
      </c>
      <c r="C69" t="str">
        <f t="shared" ref="C69:C84" si="7">"移動無線　車載型"</f>
        <v>移動無線　車載型</v>
      </c>
      <c r="D69" s="2">
        <v>42072</v>
      </c>
      <c r="E69" s="4">
        <v>10</v>
      </c>
      <c r="F69" s="1">
        <v>830000</v>
      </c>
      <c r="G69" s="1">
        <v>664000</v>
      </c>
      <c r="H69" s="1">
        <v>166000</v>
      </c>
      <c r="I69" s="7">
        <v>1</v>
      </c>
      <c r="J69" t="str">
        <f t="shared" si="6"/>
        <v>台</v>
      </c>
    </row>
    <row r="70" spans="1:10" ht="15.5" customHeight="1" x14ac:dyDescent="0.2">
      <c r="A70" t="str">
        <f t="shared" si="4"/>
        <v>物品</v>
      </c>
      <c r="B70" s="5" t="str">
        <f>"426030010005"</f>
        <v>426030010005</v>
      </c>
      <c r="C70" t="str">
        <f t="shared" si="7"/>
        <v>移動無線　車載型</v>
      </c>
      <c r="D70" s="2">
        <v>42072</v>
      </c>
      <c r="E70" s="4">
        <v>10</v>
      </c>
      <c r="F70" s="1">
        <v>830000</v>
      </c>
      <c r="G70" s="1">
        <v>664000</v>
      </c>
      <c r="H70" s="1">
        <v>166000</v>
      </c>
      <c r="I70" s="7">
        <v>1</v>
      </c>
      <c r="J70" t="str">
        <f t="shared" si="6"/>
        <v>台</v>
      </c>
    </row>
    <row r="71" spans="1:10" ht="15.5" customHeight="1" x14ac:dyDescent="0.2">
      <c r="A71" t="str">
        <f t="shared" si="4"/>
        <v>物品</v>
      </c>
      <c r="B71" s="5" t="str">
        <f>"426030010006"</f>
        <v>426030010006</v>
      </c>
      <c r="C71" t="str">
        <f t="shared" si="7"/>
        <v>移動無線　車載型</v>
      </c>
      <c r="D71" s="2">
        <v>42072</v>
      </c>
      <c r="E71" s="4">
        <v>10</v>
      </c>
      <c r="F71" s="1">
        <v>830000</v>
      </c>
      <c r="G71" s="1">
        <v>664000</v>
      </c>
      <c r="H71" s="1">
        <v>166000</v>
      </c>
      <c r="I71" s="7">
        <v>1</v>
      </c>
      <c r="J71" t="str">
        <f t="shared" si="6"/>
        <v>台</v>
      </c>
    </row>
    <row r="72" spans="1:10" ht="15.5" customHeight="1" x14ac:dyDescent="0.2">
      <c r="A72" t="str">
        <f t="shared" si="4"/>
        <v>物品</v>
      </c>
      <c r="B72" s="5" t="str">
        <f>"426030010007"</f>
        <v>426030010007</v>
      </c>
      <c r="C72" t="str">
        <f t="shared" si="7"/>
        <v>移動無線　車載型</v>
      </c>
      <c r="D72" s="2">
        <v>42072</v>
      </c>
      <c r="E72" s="4">
        <v>10</v>
      </c>
      <c r="F72" s="1">
        <v>830000</v>
      </c>
      <c r="G72" s="1">
        <v>664000</v>
      </c>
      <c r="H72" s="1">
        <v>166000</v>
      </c>
      <c r="I72" s="7">
        <v>1</v>
      </c>
      <c r="J72" t="str">
        <f t="shared" si="6"/>
        <v>台</v>
      </c>
    </row>
    <row r="73" spans="1:10" ht="15.5" customHeight="1" x14ac:dyDescent="0.2">
      <c r="A73" t="str">
        <f t="shared" si="4"/>
        <v>物品</v>
      </c>
      <c r="B73" s="5" t="str">
        <f>"426030010008"</f>
        <v>426030010008</v>
      </c>
      <c r="C73" t="str">
        <f t="shared" si="7"/>
        <v>移動無線　車載型</v>
      </c>
      <c r="D73" s="2">
        <v>42072</v>
      </c>
      <c r="E73" s="4">
        <v>10</v>
      </c>
      <c r="F73" s="1">
        <v>830000</v>
      </c>
      <c r="G73" s="1">
        <v>664000</v>
      </c>
      <c r="H73" s="1">
        <v>166000</v>
      </c>
      <c r="I73" s="7">
        <v>1</v>
      </c>
      <c r="J73" t="str">
        <f t="shared" si="6"/>
        <v>台</v>
      </c>
    </row>
    <row r="74" spans="1:10" ht="15.5" customHeight="1" x14ac:dyDescent="0.2">
      <c r="A74" t="str">
        <f t="shared" ref="A74:A97" si="8">"物品"</f>
        <v>物品</v>
      </c>
      <c r="B74" s="5" t="str">
        <f>"426030010009"</f>
        <v>426030010009</v>
      </c>
      <c r="C74" t="str">
        <f t="shared" si="7"/>
        <v>移動無線　車載型</v>
      </c>
      <c r="D74" s="2">
        <v>42072</v>
      </c>
      <c r="E74" s="4">
        <v>10</v>
      </c>
      <c r="F74" s="1">
        <v>830000</v>
      </c>
      <c r="G74" s="1">
        <v>664000</v>
      </c>
      <c r="H74" s="1">
        <v>166000</v>
      </c>
      <c r="I74" s="7">
        <v>1</v>
      </c>
      <c r="J74" t="str">
        <f t="shared" si="6"/>
        <v>台</v>
      </c>
    </row>
    <row r="75" spans="1:10" ht="15.5" customHeight="1" x14ac:dyDescent="0.2">
      <c r="A75" t="str">
        <f t="shared" si="8"/>
        <v>物品</v>
      </c>
      <c r="B75" s="5" t="str">
        <f>"426030010010"</f>
        <v>426030010010</v>
      </c>
      <c r="C75" t="str">
        <f t="shared" si="7"/>
        <v>移動無線　車載型</v>
      </c>
      <c r="D75" s="2">
        <v>42072</v>
      </c>
      <c r="E75" s="4">
        <v>10</v>
      </c>
      <c r="F75" s="1">
        <v>830000</v>
      </c>
      <c r="G75" s="1">
        <v>664000</v>
      </c>
      <c r="H75" s="1">
        <v>166000</v>
      </c>
      <c r="I75" s="7">
        <v>1</v>
      </c>
      <c r="J75" t="str">
        <f t="shared" si="6"/>
        <v>台</v>
      </c>
    </row>
    <row r="76" spans="1:10" ht="15.5" customHeight="1" x14ac:dyDescent="0.2">
      <c r="A76" t="str">
        <f t="shared" si="8"/>
        <v>物品</v>
      </c>
      <c r="B76" s="5" t="str">
        <f>"426030010011"</f>
        <v>426030010011</v>
      </c>
      <c r="C76" t="str">
        <f t="shared" si="7"/>
        <v>移動無線　車載型</v>
      </c>
      <c r="D76" s="2">
        <v>42072</v>
      </c>
      <c r="E76" s="4">
        <v>10</v>
      </c>
      <c r="F76" s="1">
        <v>830000</v>
      </c>
      <c r="G76" s="1">
        <v>664000</v>
      </c>
      <c r="H76" s="1">
        <v>166000</v>
      </c>
      <c r="I76" s="7">
        <v>1</v>
      </c>
      <c r="J76" t="str">
        <f t="shared" si="6"/>
        <v>台</v>
      </c>
    </row>
    <row r="77" spans="1:10" ht="15.5" customHeight="1" x14ac:dyDescent="0.2">
      <c r="A77" t="str">
        <f t="shared" si="8"/>
        <v>物品</v>
      </c>
      <c r="B77" s="5" t="str">
        <f>"426030010012"</f>
        <v>426030010012</v>
      </c>
      <c r="C77" t="str">
        <f t="shared" si="7"/>
        <v>移動無線　車載型</v>
      </c>
      <c r="D77" s="2">
        <v>42072</v>
      </c>
      <c r="E77" s="4">
        <v>10</v>
      </c>
      <c r="F77" s="1">
        <v>830000</v>
      </c>
      <c r="G77" s="1">
        <v>664000</v>
      </c>
      <c r="H77" s="1">
        <v>166000</v>
      </c>
      <c r="I77" s="7">
        <v>1</v>
      </c>
      <c r="J77" t="str">
        <f t="shared" si="6"/>
        <v>台</v>
      </c>
    </row>
    <row r="78" spans="1:10" ht="15.5" customHeight="1" x14ac:dyDescent="0.2">
      <c r="A78" t="str">
        <f t="shared" si="8"/>
        <v>物品</v>
      </c>
      <c r="B78" s="5" t="str">
        <f>"426030010013"</f>
        <v>426030010013</v>
      </c>
      <c r="C78" t="str">
        <f t="shared" si="7"/>
        <v>移動無線　車載型</v>
      </c>
      <c r="D78" s="2">
        <v>42072</v>
      </c>
      <c r="E78" s="4">
        <v>10</v>
      </c>
      <c r="F78" s="1">
        <v>830000</v>
      </c>
      <c r="G78" s="1">
        <v>664000</v>
      </c>
      <c r="H78" s="1">
        <v>166000</v>
      </c>
      <c r="I78" s="7">
        <v>1</v>
      </c>
      <c r="J78" t="str">
        <f t="shared" si="6"/>
        <v>台</v>
      </c>
    </row>
    <row r="79" spans="1:10" ht="15.5" customHeight="1" x14ac:dyDescent="0.2">
      <c r="A79" t="str">
        <f t="shared" si="8"/>
        <v>物品</v>
      </c>
      <c r="B79" s="5" t="str">
        <f>"426030010014"</f>
        <v>426030010014</v>
      </c>
      <c r="C79" t="str">
        <f t="shared" si="7"/>
        <v>移動無線　車載型</v>
      </c>
      <c r="D79" s="2">
        <v>42072</v>
      </c>
      <c r="E79" s="4">
        <v>10</v>
      </c>
      <c r="F79" s="1">
        <v>830000</v>
      </c>
      <c r="G79" s="1">
        <v>664000</v>
      </c>
      <c r="H79" s="1">
        <v>166000</v>
      </c>
      <c r="I79" s="7">
        <v>1</v>
      </c>
      <c r="J79" t="str">
        <f t="shared" si="6"/>
        <v>台</v>
      </c>
    </row>
    <row r="80" spans="1:10" ht="15.5" customHeight="1" x14ac:dyDescent="0.2">
      <c r="A80" t="str">
        <f t="shared" si="8"/>
        <v>物品</v>
      </c>
      <c r="B80" s="5" t="str">
        <f>"426030010015"</f>
        <v>426030010015</v>
      </c>
      <c r="C80" t="str">
        <f t="shared" si="7"/>
        <v>移動無線　車載型</v>
      </c>
      <c r="D80" s="2">
        <v>42072</v>
      </c>
      <c r="E80" s="4">
        <v>10</v>
      </c>
      <c r="F80" s="1">
        <v>830000</v>
      </c>
      <c r="G80" s="1">
        <v>664000</v>
      </c>
      <c r="H80" s="1">
        <v>166000</v>
      </c>
      <c r="I80" s="7">
        <v>1</v>
      </c>
      <c r="J80" t="str">
        <f t="shared" si="6"/>
        <v>台</v>
      </c>
    </row>
    <row r="81" spans="1:10" ht="15.5" customHeight="1" x14ac:dyDescent="0.2">
      <c r="A81" t="str">
        <f t="shared" si="8"/>
        <v>物品</v>
      </c>
      <c r="B81" s="5" t="str">
        <f>"426030010016"</f>
        <v>426030010016</v>
      </c>
      <c r="C81" t="str">
        <f t="shared" si="7"/>
        <v>移動無線　車載型</v>
      </c>
      <c r="D81" s="2">
        <v>42072</v>
      </c>
      <c r="E81" s="4">
        <v>10</v>
      </c>
      <c r="F81" s="1">
        <v>830000</v>
      </c>
      <c r="G81" s="1">
        <v>664000</v>
      </c>
      <c r="H81" s="1">
        <v>166000</v>
      </c>
      <c r="I81" s="7">
        <v>1</v>
      </c>
      <c r="J81" t="str">
        <f t="shared" si="6"/>
        <v>台</v>
      </c>
    </row>
    <row r="82" spans="1:10" ht="15.5" customHeight="1" x14ac:dyDescent="0.2">
      <c r="A82" t="str">
        <f t="shared" si="8"/>
        <v>物品</v>
      </c>
      <c r="B82" s="5" t="str">
        <f>"426030010017"</f>
        <v>426030010017</v>
      </c>
      <c r="C82" t="str">
        <f t="shared" si="7"/>
        <v>移動無線　車載型</v>
      </c>
      <c r="D82" s="2">
        <v>42072</v>
      </c>
      <c r="E82" s="4">
        <v>10</v>
      </c>
      <c r="F82" s="1">
        <v>830000</v>
      </c>
      <c r="G82" s="1">
        <v>664000</v>
      </c>
      <c r="H82" s="1">
        <v>166000</v>
      </c>
      <c r="I82" s="7">
        <v>1</v>
      </c>
      <c r="J82" t="str">
        <f t="shared" si="6"/>
        <v>台</v>
      </c>
    </row>
    <row r="83" spans="1:10" ht="15.5" customHeight="1" x14ac:dyDescent="0.2">
      <c r="A83" t="str">
        <f t="shared" si="8"/>
        <v>物品</v>
      </c>
      <c r="B83" s="5" t="str">
        <f>"426030010018"</f>
        <v>426030010018</v>
      </c>
      <c r="C83" t="str">
        <f t="shared" si="7"/>
        <v>移動無線　車載型</v>
      </c>
      <c r="D83" s="2">
        <v>42072</v>
      </c>
      <c r="E83" s="4">
        <v>10</v>
      </c>
      <c r="F83" s="1">
        <v>830000</v>
      </c>
      <c r="G83" s="1">
        <v>664000</v>
      </c>
      <c r="H83" s="1">
        <v>166000</v>
      </c>
      <c r="I83" s="7">
        <v>1</v>
      </c>
      <c r="J83" t="str">
        <f t="shared" si="6"/>
        <v>台</v>
      </c>
    </row>
    <row r="84" spans="1:10" ht="15.5" customHeight="1" x14ac:dyDescent="0.2">
      <c r="A84" t="str">
        <f t="shared" si="8"/>
        <v>物品</v>
      </c>
      <c r="B84" s="5" t="str">
        <f>"426030010019"</f>
        <v>426030010019</v>
      </c>
      <c r="C84" t="str">
        <f t="shared" si="7"/>
        <v>移動無線　車載型</v>
      </c>
      <c r="D84" s="2">
        <v>42072</v>
      </c>
      <c r="E84" s="4">
        <v>10</v>
      </c>
      <c r="F84" s="1">
        <v>830000</v>
      </c>
      <c r="G84" s="1">
        <v>664000</v>
      </c>
      <c r="H84" s="1">
        <v>166000</v>
      </c>
      <c r="I84" s="7">
        <v>1</v>
      </c>
      <c r="J84" t="str">
        <f t="shared" si="6"/>
        <v>台</v>
      </c>
    </row>
    <row r="85" spans="1:10" ht="15.5" customHeight="1" x14ac:dyDescent="0.2">
      <c r="A85" t="str">
        <f t="shared" si="8"/>
        <v>物品</v>
      </c>
      <c r="B85" s="5" t="str">
        <f>"426030010020"</f>
        <v>426030010020</v>
      </c>
      <c r="C85" t="str">
        <f t="shared" ref="C85:C96" si="9">"移動無線　車載型"</f>
        <v>移動無線　車載型</v>
      </c>
      <c r="D85" s="2">
        <v>42072</v>
      </c>
      <c r="E85" s="4">
        <v>10</v>
      </c>
      <c r="F85" s="1">
        <v>830000</v>
      </c>
      <c r="G85" s="1">
        <v>664000</v>
      </c>
      <c r="H85" s="1">
        <v>166000</v>
      </c>
      <c r="I85" s="7">
        <v>1</v>
      </c>
      <c r="J85" t="str">
        <f t="shared" si="6"/>
        <v>台</v>
      </c>
    </row>
    <row r="86" spans="1:10" ht="15.5" customHeight="1" x14ac:dyDescent="0.2">
      <c r="A86" t="str">
        <f t="shared" si="8"/>
        <v>物品</v>
      </c>
      <c r="B86" s="5" t="str">
        <f>"426030010021"</f>
        <v>426030010021</v>
      </c>
      <c r="C86" t="str">
        <f t="shared" si="9"/>
        <v>移動無線　車載型</v>
      </c>
      <c r="D86" s="2">
        <v>42072</v>
      </c>
      <c r="E86" s="4">
        <v>10</v>
      </c>
      <c r="F86" s="1">
        <v>830000</v>
      </c>
      <c r="G86" s="1">
        <v>664000</v>
      </c>
      <c r="H86" s="1">
        <v>166000</v>
      </c>
      <c r="I86" s="7">
        <v>1</v>
      </c>
      <c r="J86" t="str">
        <f t="shared" si="6"/>
        <v>台</v>
      </c>
    </row>
    <row r="87" spans="1:10" ht="15.5" customHeight="1" x14ac:dyDescent="0.2">
      <c r="A87" t="str">
        <f t="shared" si="8"/>
        <v>物品</v>
      </c>
      <c r="B87" s="5" t="str">
        <f>"426030010022"</f>
        <v>426030010022</v>
      </c>
      <c r="C87" t="str">
        <f t="shared" si="9"/>
        <v>移動無線　車載型</v>
      </c>
      <c r="D87" s="2">
        <v>42072</v>
      </c>
      <c r="E87" s="4">
        <v>10</v>
      </c>
      <c r="F87" s="1">
        <v>830000</v>
      </c>
      <c r="G87" s="1">
        <v>664000</v>
      </c>
      <c r="H87" s="1">
        <v>166000</v>
      </c>
      <c r="I87" s="7">
        <v>1</v>
      </c>
      <c r="J87" t="str">
        <f t="shared" si="6"/>
        <v>台</v>
      </c>
    </row>
    <row r="88" spans="1:10" ht="15.5" customHeight="1" x14ac:dyDescent="0.2">
      <c r="A88" t="str">
        <f t="shared" si="8"/>
        <v>物品</v>
      </c>
      <c r="B88" s="5" t="str">
        <f>"426030010023"</f>
        <v>426030010023</v>
      </c>
      <c r="C88" t="str">
        <f t="shared" si="9"/>
        <v>移動無線　車載型</v>
      </c>
      <c r="D88" s="2">
        <v>42072</v>
      </c>
      <c r="E88" s="4">
        <v>10</v>
      </c>
      <c r="F88" s="1">
        <v>830000</v>
      </c>
      <c r="G88" s="1">
        <v>664000</v>
      </c>
      <c r="H88" s="1">
        <v>166000</v>
      </c>
      <c r="I88" s="7">
        <v>1</v>
      </c>
      <c r="J88" t="str">
        <f t="shared" si="6"/>
        <v>台</v>
      </c>
    </row>
    <row r="89" spans="1:10" ht="15.5" customHeight="1" x14ac:dyDescent="0.2">
      <c r="A89" t="str">
        <f t="shared" si="8"/>
        <v>物品</v>
      </c>
      <c r="B89" s="5" t="str">
        <f>"426030010024"</f>
        <v>426030010024</v>
      </c>
      <c r="C89" t="str">
        <f t="shared" si="9"/>
        <v>移動無線　車載型</v>
      </c>
      <c r="D89" s="2">
        <v>42072</v>
      </c>
      <c r="E89" s="4">
        <v>10</v>
      </c>
      <c r="F89" s="1">
        <v>830000</v>
      </c>
      <c r="G89" s="1">
        <v>664000</v>
      </c>
      <c r="H89" s="1">
        <v>166000</v>
      </c>
      <c r="I89" s="7">
        <v>1</v>
      </c>
      <c r="J89" t="str">
        <f t="shared" si="6"/>
        <v>台</v>
      </c>
    </row>
    <row r="90" spans="1:10" ht="15.5" customHeight="1" x14ac:dyDescent="0.2">
      <c r="A90" t="str">
        <f t="shared" si="8"/>
        <v>物品</v>
      </c>
      <c r="B90" s="5" t="str">
        <f>"426030010025"</f>
        <v>426030010025</v>
      </c>
      <c r="C90" t="str">
        <f t="shared" si="9"/>
        <v>移動無線　車載型</v>
      </c>
      <c r="D90" s="2">
        <v>42072</v>
      </c>
      <c r="E90" s="4">
        <v>10</v>
      </c>
      <c r="F90" s="1">
        <v>830000</v>
      </c>
      <c r="G90" s="1">
        <v>664000</v>
      </c>
      <c r="H90" s="1">
        <v>166000</v>
      </c>
      <c r="I90" s="7">
        <v>1</v>
      </c>
      <c r="J90" t="str">
        <f t="shared" si="6"/>
        <v>台</v>
      </c>
    </row>
    <row r="91" spans="1:10" ht="15.5" customHeight="1" x14ac:dyDescent="0.2">
      <c r="A91" t="str">
        <f t="shared" si="8"/>
        <v>物品</v>
      </c>
      <c r="B91" s="5" t="str">
        <f>"426030010026"</f>
        <v>426030010026</v>
      </c>
      <c r="C91" t="str">
        <f t="shared" si="9"/>
        <v>移動無線　車載型</v>
      </c>
      <c r="D91" s="2">
        <v>42072</v>
      </c>
      <c r="E91" s="4">
        <v>10</v>
      </c>
      <c r="F91" s="1">
        <v>830000</v>
      </c>
      <c r="G91" s="1">
        <v>664000</v>
      </c>
      <c r="H91" s="1">
        <v>166000</v>
      </c>
      <c r="I91" s="7">
        <v>1</v>
      </c>
      <c r="J91" t="str">
        <f t="shared" si="6"/>
        <v>台</v>
      </c>
    </row>
    <row r="92" spans="1:10" ht="15.5" customHeight="1" x14ac:dyDescent="0.2">
      <c r="A92" t="str">
        <f t="shared" si="8"/>
        <v>物品</v>
      </c>
      <c r="B92" s="5" t="str">
        <f>"426030010027"</f>
        <v>426030010027</v>
      </c>
      <c r="C92" t="str">
        <f t="shared" si="9"/>
        <v>移動無線　車載型</v>
      </c>
      <c r="D92" s="2">
        <v>42072</v>
      </c>
      <c r="E92" s="4">
        <v>10</v>
      </c>
      <c r="F92" s="1">
        <v>830000</v>
      </c>
      <c r="G92" s="1">
        <v>664000</v>
      </c>
      <c r="H92" s="1">
        <v>166000</v>
      </c>
      <c r="I92" s="7">
        <v>1</v>
      </c>
      <c r="J92" t="str">
        <f t="shared" si="6"/>
        <v>台</v>
      </c>
    </row>
    <row r="93" spans="1:10" ht="15.5" customHeight="1" x14ac:dyDescent="0.2">
      <c r="A93" t="str">
        <f t="shared" si="8"/>
        <v>物品</v>
      </c>
      <c r="B93" s="5" t="str">
        <f>"426030010028"</f>
        <v>426030010028</v>
      </c>
      <c r="C93" t="str">
        <f t="shared" si="9"/>
        <v>移動無線　車載型</v>
      </c>
      <c r="D93" s="2">
        <v>42072</v>
      </c>
      <c r="E93" s="4">
        <v>10</v>
      </c>
      <c r="F93" s="1">
        <v>830000</v>
      </c>
      <c r="G93" s="1">
        <v>664000</v>
      </c>
      <c r="H93" s="1">
        <v>166000</v>
      </c>
      <c r="I93" s="7">
        <v>1</v>
      </c>
      <c r="J93" t="str">
        <f t="shared" si="6"/>
        <v>台</v>
      </c>
    </row>
    <row r="94" spans="1:10" ht="15.5" customHeight="1" x14ac:dyDescent="0.2">
      <c r="A94" t="str">
        <f t="shared" si="8"/>
        <v>物品</v>
      </c>
      <c r="B94" s="5" t="str">
        <f>"426030010029"</f>
        <v>426030010029</v>
      </c>
      <c r="C94" t="str">
        <f t="shared" si="9"/>
        <v>移動無線　車載型</v>
      </c>
      <c r="D94" s="2">
        <v>42072</v>
      </c>
      <c r="E94" s="4">
        <v>10</v>
      </c>
      <c r="F94" s="1">
        <v>830000</v>
      </c>
      <c r="G94" s="1">
        <v>664000</v>
      </c>
      <c r="H94" s="1">
        <v>166000</v>
      </c>
      <c r="I94" s="7">
        <v>1</v>
      </c>
      <c r="J94" t="str">
        <f t="shared" si="6"/>
        <v>台</v>
      </c>
    </row>
    <row r="95" spans="1:10" ht="15.5" customHeight="1" x14ac:dyDescent="0.2">
      <c r="A95" t="str">
        <f t="shared" si="8"/>
        <v>物品</v>
      </c>
      <c r="B95" s="5" t="str">
        <f>"426030010030"</f>
        <v>426030010030</v>
      </c>
      <c r="C95" t="str">
        <f t="shared" si="9"/>
        <v>移動無線　車載型</v>
      </c>
      <c r="D95" s="2">
        <v>42072</v>
      </c>
      <c r="E95" s="4">
        <v>10</v>
      </c>
      <c r="F95" s="1">
        <v>830000</v>
      </c>
      <c r="G95" s="1">
        <v>664000</v>
      </c>
      <c r="H95" s="1">
        <v>166000</v>
      </c>
      <c r="I95" s="7">
        <v>1</v>
      </c>
      <c r="J95" t="str">
        <f t="shared" si="6"/>
        <v>台</v>
      </c>
    </row>
    <row r="96" spans="1:10" ht="15.5" customHeight="1" x14ac:dyDescent="0.2">
      <c r="A96" t="str">
        <f t="shared" si="8"/>
        <v>物品</v>
      </c>
      <c r="B96" s="5" t="str">
        <f>"426030010031"</f>
        <v>426030010031</v>
      </c>
      <c r="C96" t="str">
        <f t="shared" si="9"/>
        <v>移動無線　車載型</v>
      </c>
      <c r="D96" s="2">
        <v>42072</v>
      </c>
      <c r="E96" s="4">
        <v>10</v>
      </c>
      <c r="F96" s="1">
        <v>830000</v>
      </c>
      <c r="G96" s="1">
        <v>664000</v>
      </c>
      <c r="H96" s="1">
        <v>166000</v>
      </c>
      <c r="I96" s="7">
        <v>1</v>
      </c>
      <c r="J96" t="str">
        <f t="shared" si="6"/>
        <v>台</v>
      </c>
    </row>
    <row r="97" spans="1:10" ht="15.5" customHeight="1" x14ac:dyDescent="0.2">
      <c r="A97" t="str">
        <f t="shared" si="8"/>
        <v>物品</v>
      </c>
      <c r="B97" s="5" t="str">
        <f>"426030010032"</f>
        <v>426030010032</v>
      </c>
      <c r="C97" t="str">
        <f>"移動無線　卓上型"</f>
        <v>移動無線　卓上型</v>
      </c>
      <c r="D97" s="2">
        <v>42072</v>
      </c>
      <c r="E97" s="4">
        <v>10</v>
      </c>
      <c r="F97" s="1">
        <v>10030000</v>
      </c>
      <c r="G97" s="1">
        <v>8024000</v>
      </c>
      <c r="H97" s="1">
        <v>2006000</v>
      </c>
      <c r="I97" s="7">
        <v>1</v>
      </c>
      <c r="J97" t="str">
        <f t="shared" si="6"/>
        <v>台</v>
      </c>
    </row>
    <row r="98" spans="1:10" ht="15.5" customHeight="1" x14ac:dyDescent="0.2">
      <c r="A98" t="str">
        <f t="shared" ref="A98:A105" si="10">"その他工作物"</f>
        <v>その他工作物</v>
      </c>
      <c r="B98" s="5" t="str">
        <f>"426030010033"</f>
        <v>426030010033</v>
      </c>
      <c r="C98" t="str">
        <f t="shared" ref="C98:C105" si="11">"無線システム　基地局"</f>
        <v>無線システム　基地局</v>
      </c>
      <c r="D98" s="2">
        <v>42072</v>
      </c>
      <c r="E98" s="4">
        <v>10</v>
      </c>
      <c r="F98" s="1">
        <v>31376000</v>
      </c>
      <c r="G98" s="1">
        <v>25100800</v>
      </c>
      <c r="H98" s="1">
        <v>6275200</v>
      </c>
      <c r="I98" s="7">
        <v>1</v>
      </c>
      <c r="J98" t="str">
        <f t="shared" si="6"/>
        <v>台</v>
      </c>
    </row>
    <row r="99" spans="1:10" ht="15.5" customHeight="1" x14ac:dyDescent="0.2">
      <c r="A99" t="str">
        <f t="shared" si="10"/>
        <v>その他工作物</v>
      </c>
      <c r="B99" s="5" t="str">
        <f>"426030010034"</f>
        <v>426030010034</v>
      </c>
      <c r="C99" t="str">
        <f t="shared" si="11"/>
        <v>無線システム　基地局</v>
      </c>
      <c r="D99" s="2">
        <v>42072</v>
      </c>
      <c r="E99" s="4">
        <v>10</v>
      </c>
      <c r="F99" s="1">
        <v>34521900</v>
      </c>
      <c r="G99" s="1">
        <v>27617520</v>
      </c>
      <c r="H99" s="1">
        <v>6904380</v>
      </c>
      <c r="I99" s="7">
        <v>1</v>
      </c>
      <c r="J99" t="str">
        <f t="shared" si="6"/>
        <v>台</v>
      </c>
    </row>
    <row r="100" spans="1:10" ht="15.5" customHeight="1" x14ac:dyDescent="0.2">
      <c r="A100" t="str">
        <f t="shared" si="10"/>
        <v>その他工作物</v>
      </c>
      <c r="B100" s="5" t="str">
        <f>"426030010035"</f>
        <v>426030010035</v>
      </c>
      <c r="C100" t="str">
        <f t="shared" si="11"/>
        <v>無線システム　基地局</v>
      </c>
      <c r="D100" s="2">
        <v>42072</v>
      </c>
      <c r="E100" s="4">
        <v>10</v>
      </c>
      <c r="F100" s="1">
        <v>28482900</v>
      </c>
      <c r="G100" s="1">
        <v>22786320</v>
      </c>
      <c r="H100" s="1">
        <v>5696580</v>
      </c>
      <c r="I100" s="7">
        <v>1</v>
      </c>
      <c r="J100" t="str">
        <f t="shared" si="6"/>
        <v>台</v>
      </c>
    </row>
    <row r="101" spans="1:10" ht="15.5" customHeight="1" x14ac:dyDescent="0.2">
      <c r="A101" t="str">
        <f t="shared" si="10"/>
        <v>その他工作物</v>
      </c>
      <c r="B101" s="5" t="str">
        <f>"426030010036"</f>
        <v>426030010036</v>
      </c>
      <c r="C101" t="str">
        <f t="shared" si="11"/>
        <v>無線システム　基地局</v>
      </c>
      <c r="D101" s="2">
        <v>42072</v>
      </c>
      <c r="E101" s="4">
        <v>10</v>
      </c>
      <c r="F101" s="1">
        <v>28601700</v>
      </c>
      <c r="G101" s="1">
        <v>22881360</v>
      </c>
      <c r="H101" s="1">
        <v>5720340</v>
      </c>
      <c r="I101" s="7">
        <v>1</v>
      </c>
      <c r="J101" t="str">
        <f t="shared" si="6"/>
        <v>台</v>
      </c>
    </row>
    <row r="102" spans="1:10" ht="15.5" customHeight="1" x14ac:dyDescent="0.2">
      <c r="A102" t="str">
        <f t="shared" si="10"/>
        <v>その他工作物</v>
      </c>
      <c r="B102" s="5" t="str">
        <f>"426030010037"</f>
        <v>426030010037</v>
      </c>
      <c r="C102" t="str">
        <f t="shared" si="11"/>
        <v>無線システム　基地局</v>
      </c>
      <c r="D102" s="2">
        <v>42072</v>
      </c>
      <c r="E102" s="4">
        <v>10</v>
      </c>
      <c r="F102" s="1">
        <v>32392900</v>
      </c>
      <c r="G102" s="1">
        <v>25914320</v>
      </c>
      <c r="H102" s="1">
        <v>6478580</v>
      </c>
      <c r="I102" s="7">
        <v>1</v>
      </c>
      <c r="J102" t="str">
        <f t="shared" si="6"/>
        <v>台</v>
      </c>
    </row>
    <row r="103" spans="1:10" ht="15.5" customHeight="1" x14ac:dyDescent="0.2">
      <c r="A103" t="str">
        <f t="shared" si="10"/>
        <v>その他工作物</v>
      </c>
      <c r="B103" s="5" t="str">
        <f>"426030010038"</f>
        <v>426030010038</v>
      </c>
      <c r="C103" t="str">
        <f t="shared" si="11"/>
        <v>無線システム　基地局</v>
      </c>
      <c r="D103" s="2">
        <v>42072</v>
      </c>
      <c r="E103" s="4">
        <v>10</v>
      </c>
      <c r="F103" s="1">
        <v>17812900</v>
      </c>
      <c r="G103" s="1">
        <v>14250320</v>
      </c>
      <c r="H103" s="1">
        <v>3562580</v>
      </c>
      <c r="I103" s="7">
        <v>1</v>
      </c>
      <c r="J103" t="str">
        <f t="shared" si="6"/>
        <v>台</v>
      </c>
    </row>
    <row r="104" spans="1:10" ht="15.5" customHeight="1" x14ac:dyDescent="0.2">
      <c r="A104" t="str">
        <f t="shared" si="10"/>
        <v>その他工作物</v>
      </c>
      <c r="B104" s="5" t="str">
        <f>"426030010039"</f>
        <v>426030010039</v>
      </c>
      <c r="C104" t="str">
        <f t="shared" si="11"/>
        <v>無線システム　基地局</v>
      </c>
      <c r="D104" s="2">
        <v>42072</v>
      </c>
      <c r="E104" s="4">
        <v>10</v>
      </c>
      <c r="F104" s="1">
        <v>22076900</v>
      </c>
      <c r="G104" s="1">
        <v>17661520</v>
      </c>
      <c r="H104" s="1">
        <v>4415380</v>
      </c>
      <c r="I104" s="7">
        <v>1</v>
      </c>
      <c r="J104" t="str">
        <f t="shared" si="6"/>
        <v>台</v>
      </c>
    </row>
    <row r="105" spans="1:10" ht="15.5" customHeight="1" x14ac:dyDescent="0.2">
      <c r="A105" t="str">
        <f t="shared" si="10"/>
        <v>その他工作物</v>
      </c>
      <c r="B105" s="5" t="str">
        <f>"426030010040"</f>
        <v>426030010040</v>
      </c>
      <c r="C105" t="str">
        <f t="shared" si="11"/>
        <v>無線システム　基地局</v>
      </c>
      <c r="D105" s="2">
        <v>42072</v>
      </c>
      <c r="E105" s="4">
        <v>10</v>
      </c>
      <c r="F105" s="1">
        <v>22076900</v>
      </c>
      <c r="G105" s="1">
        <v>17661520</v>
      </c>
      <c r="H105" s="1">
        <v>4415380</v>
      </c>
      <c r="I105" s="7">
        <v>1</v>
      </c>
      <c r="J105" t="str">
        <f t="shared" si="6"/>
        <v>台</v>
      </c>
    </row>
    <row r="106" spans="1:10" ht="15.5" customHeight="1" x14ac:dyDescent="0.2">
      <c r="A106" t="str">
        <f t="shared" ref="A106:A115" si="12">"物品"</f>
        <v>物品</v>
      </c>
      <c r="B106" s="5" t="str">
        <f>"426030010041"</f>
        <v>426030010041</v>
      </c>
      <c r="C106" t="str">
        <f>"救急自動車"</f>
        <v>救急自動車</v>
      </c>
      <c r="D106" s="2">
        <v>42083</v>
      </c>
      <c r="E106" s="4">
        <v>5</v>
      </c>
      <c r="F106" s="1">
        <v>27648000</v>
      </c>
      <c r="G106" s="1">
        <v>27647999</v>
      </c>
      <c r="H106" s="1">
        <v>1</v>
      </c>
      <c r="I106" s="7">
        <v>1</v>
      </c>
      <c r="J106" t="str">
        <f t="shared" si="6"/>
        <v>台</v>
      </c>
    </row>
    <row r="107" spans="1:10" ht="15.5" customHeight="1" x14ac:dyDescent="0.2">
      <c r="A107" t="str">
        <f t="shared" si="12"/>
        <v>物品</v>
      </c>
      <c r="B107" s="5" t="str">
        <f>"426030010042"</f>
        <v>426030010042</v>
      </c>
      <c r="C107" t="str">
        <f t="shared" ref="C107:C109" si="13">"書棚"</f>
        <v>書棚</v>
      </c>
      <c r="D107" s="2">
        <v>42083</v>
      </c>
      <c r="E107" s="4">
        <v>15</v>
      </c>
      <c r="F107" s="1">
        <v>896000</v>
      </c>
      <c r="G107" s="1">
        <v>480256</v>
      </c>
      <c r="H107" s="1">
        <v>415744</v>
      </c>
      <c r="I107" s="7">
        <v>1</v>
      </c>
      <c r="J107" t="str">
        <f t="shared" si="6"/>
        <v>台</v>
      </c>
    </row>
    <row r="108" spans="1:10" ht="15.5" customHeight="1" x14ac:dyDescent="0.2">
      <c r="A108" t="str">
        <f t="shared" si="12"/>
        <v>物品</v>
      </c>
      <c r="B108" s="5" t="str">
        <f>"426030010043"</f>
        <v>426030010043</v>
      </c>
      <c r="C108" t="str">
        <f t="shared" si="13"/>
        <v>書棚</v>
      </c>
      <c r="D108" s="2">
        <v>42083</v>
      </c>
      <c r="E108" s="4">
        <v>15</v>
      </c>
      <c r="F108" s="1">
        <v>912000</v>
      </c>
      <c r="G108" s="1">
        <v>488832</v>
      </c>
      <c r="H108" s="1">
        <v>423168</v>
      </c>
      <c r="I108" s="7">
        <v>1</v>
      </c>
      <c r="J108" t="str">
        <f t="shared" si="6"/>
        <v>台</v>
      </c>
    </row>
    <row r="109" spans="1:10" ht="15.5" customHeight="1" x14ac:dyDescent="0.2">
      <c r="A109" t="str">
        <f t="shared" si="12"/>
        <v>物品</v>
      </c>
      <c r="B109" s="5" t="str">
        <f>"426030010044"</f>
        <v>426030010044</v>
      </c>
      <c r="C109" t="str">
        <f t="shared" si="13"/>
        <v>書棚</v>
      </c>
      <c r="D109" s="2">
        <v>42083</v>
      </c>
      <c r="E109" s="4">
        <v>15</v>
      </c>
      <c r="F109" s="1">
        <v>4000000</v>
      </c>
      <c r="G109" s="1">
        <v>2144000</v>
      </c>
      <c r="H109" s="1">
        <v>1856000</v>
      </c>
      <c r="I109" s="7">
        <v>1</v>
      </c>
      <c r="J109" t="str">
        <f t="shared" si="6"/>
        <v>台</v>
      </c>
    </row>
    <row r="110" spans="1:10" ht="15.5" customHeight="1" x14ac:dyDescent="0.2">
      <c r="A110" t="str">
        <f t="shared" si="12"/>
        <v>物品</v>
      </c>
      <c r="B110" s="5" t="str">
        <f>"426030010045"</f>
        <v>426030010045</v>
      </c>
      <c r="C110" t="str">
        <f>"高機能消防指令センター"</f>
        <v>高機能消防指令センター</v>
      </c>
      <c r="D110" s="2">
        <v>42072</v>
      </c>
      <c r="E110" s="4">
        <v>10</v>
      </c>
      <c r="F110" s="1">
        <v>256144524</v>
      </c>
      <c r="G110" s="1">
        <v>204915616</v>
      </c>
      <c r="H110" s="1">
        <v>51228908</v>
      </c>
      <c r="I110" s="7">
        <v>1</v>
      </c>
      <c r="J110" t="str">
        <f t="shared" si="6"/>
        <v>台</v>
      </c>
    </row>
    <row r="111" spans="1:10" ht="15.5" customHeight="1" x14ac:dyDescent="0.2">
      <c r="A111" t="str">
        <f t="shared" si="12"/>
        <v>物品</v>
      </c>
      <c r="B111" s="5" t="str">
        <f>"426030010046"</f>
        <v>426030010046</v>
      </c>
      <c r="C111" t="str">
        <f>"消防救急デジタル無線設備"</f>
        <v>消防救急デジタル無線設備</v>
      </c>
      <c r="D111" s="2">
        <v>42072</v>
      </c>
      <c r="E111" s="4">
        <v>10</v>
      </c>
      <c r="F111" s="1">
        <v>485730500</v>
      </c>
      <c r="G111" s="1">
        <v>388584400</v>
      </c>
      <c r="H111" s="1">
        <v>97146100</v>
      </c>
      <c r="I111" s="7">
        <v>1</v>
      </c>
      <c r="J111" t="str">
        <f t="shared" si="6"/>
        <v>台</v>
      </c>
    </row>
    <row r="112" spans="1:10" ht="15.5" customHeight="1" x14ac:dyDescent="0.2">
      <c r="A112" t="str">
        <f t="shared" si="12"/>
        <v>物品</v>
      </c>
      <c r="B112" s="5" t="str">
        <f>"426060010001"</f>
        <v>426060010001</v>
      </c>
      <c r="C112" t="str">
        <f>"消防ホース洗浄機"</f>
        <v>消防ホース洗浄機</v>
      </c>
      <c r="D112" s="2">
        <v>41808</v>
      </c>
      <c r="E112" s="4">
        <v>10</v>
      </c>
      <c r="F112" s="1">
        <v>2106000</v>
      </c>
      <c r="G112" s="1">
        <v>1684800</v>
      </c>
      <c r="H112" s="1">
        <v>421200</v>
      </c>
      <c r="I112" s="7">
        <v>1</v>
      </c>
      <c r="J112" t="str">
        <f t="shared" si="6"/>
        <v>台</v>
      </c>
    </row>
    <row r="113" spans="1:10" ht="15.5" customHeight="1" x14ac:dyDescent="0.2">
      <c r="A113" t="str">
        <f t="shared" si="12"/>
        <v>物品</v>
      </c>
      <c r="B113" s="5" t="str">
        <f>"426060010002"</f>
        <v>426060010002</v>
      </c>
      <c r="C113" t="str">
        <f>"ホース洗浄機"</f>
        <v>ホース洗浄機</v>
      </c>
      <c r="D113" s="2">
        <v>41809</v>
      </c>
      <c r="E113" s="4">
        <v>15</v>
      </c>
      <c r="F113" s="1">
        <v>2106000</v>
      </c>
      <c r="G113" s="1">
        <v>1128816</v>
      </c>
      <c r="H113" s="1">
        <v>977184</v>
      </c>
      <c r="I113" s="7">
        <v>1</v>
      </c>
      <c r="J113" t="str">
        <f t="shared" si="6"/>
        <v>台</v>
      </c>
    </row>
    <row r="114" spans="1:10" ht="15.5" customHeight="1" x14ac:dyDescent="0.2">
      <c r="A114" t="str">
        <f t="shared" si="12"/>
        <v>物品</v>
      </c>
      <c r="B114" s="5" t="str">
        <f>"426080010001"</f>
        <v>426080010001</v>
      </c>
      <c r="C114" t="str">
        <f>"ビデオ硬性挿管用喉頭鏡"</f>
        <v>ビデオ硬性挿管用喉頭鏡</v>
      </c>
      <c r="D114" s="2">
        <v>41858</v>
      </c>
      <c r="E114" s="4">
        <v>6</v>
      </c>
      <c r="F114" s="1">
        <v>766800</v>
      </c>
      <c r="G114" s="1">
        <v>766799</v>
      </c>
      <c r="H114" s="1">
        <v>1</v>
      </c>
      <c r="I114" s="7">
        <v>1</v>
      </c>
      <c r="J114" t="str">
        <f>"個"</f>
        <v>個</v>
      </c>
    </row>
    <row r="115" spans="1:10" ht="15.5" customHeight="1" x14ac:dyDescent="0.2">
      <c r="A115" t="str">
        <f t="shared" si="12"/>
        <v>物品</v>
      </c>
      <c r="B115" s="5" t="str">
        <f>"426090010002"</f>
        <v>426090010002</v>
      </c>
      <c r="C115" t="str">
        <f>"ピストル式発射銃　救命索　発射銃"</f>
        <v>ピストル式発射銃　救命索　発射銃</v>
      </c>
      <c r="D115" s="2">
        <v>41911</v>
      </c>
      <c r="E115" s="4">
        <v>2</v>
      </c>
      <c r="F115" s="1">
        <v>799200</v>
      </c>
      <c r="G115" s="1">
        <v>799199</v>
      </c>
      <c r="H115" s="1">
        <v>1</v>
      </c>
      <c r="I115" s="7">
        <v>1</v>
      </c>
      <c r="J115" t="str">
        <f>"台"</f>
        <v>台</v>
      </c>
    </row>
    <row r="116" spans="1:10" ht="15.5" customHeight="1" x14ac:dyDescent="0.2">
      <c r="A116" t="str">
        <f>"建物"</f>
        <v>建物</v>
      </c>
      <c r="B116" s="5" t="str">
        <f>"427030010001"</f>
        <v>427030010001</v>
      </c>
      <c r="C116" t="str">
        <f>"淡路広域消防事務組合　消防本部、洲本消防署"</f>
        <v>淡路広域消防事務組合　消防本部、洲本消防署</v>
      </c>
      <c r="D116" s="2">
        <v>42441</v>
      </c>
      <c r="E116" s="4">
        <v>38</v>
      </c>
      <c r="F116" s="1">
        <v>941508000</v>
      </c>
      <c r="G116" s="1">
        <v>177945012</v>
      </c>
      <c r="H116" s="1">
        <v>763562988</v>
      </c>
      <c r="I116" s="5" t="str">
        <f>"4189.96"</f>
        <v>4189.96</v>
      </c>
      <c r="J116" t="str">
        <f>"㎡"</f>
        <v>㎡</v>
      </c>
    </row>
    <row r="117" spans="1:10" ht="15.5" customHeight="1" x14ac:dyDescent="0.2">
      <c r="A117" t="str">
        <f>"その他工作物"</f>
        <v>その他工作物</v>
      </c>
      <c r="B117" s="5" t="str">
        <f>"427030010002"</f>
        <v>427030010002</v>
      </c>
      <c r="C117" t="str">
        <f>"太陽光発電設備"</f>
        <v>太陽光発電設備</v>
      </c>
      <c r="D117" s="2">
        <v>42441</v>
      </c>
      <c r="E117" s="4">
        <v>36</v>
      </c>
      <c r="F117" s="1">
        <v>22680000</v>
      </c>
      <c r="G117" s="1">
        <v>4445280</v>
      </c>
      <c r="H117" s="1">
        <v>18234720</v>
      </c>
      <c r="I117" s="6">
        <v>1</v>
      </c>
      <c r="J117" t="str">
        <f>"棟"</f>
        <v>棟</v>
      </c>
    </row>
    <row r="118" spans="1:10" ht="15.5" customHeight="1" x14ac:dyDescent="0.2">
      <c r="A118" t="str">
        <f t="shared" ref="A118:A131" si="14">"物品"</f>
        <v>物品</v>
      </c>
      <c r="B118" s="5" t="str">
        <f>"427030010003"</f>
        <v>427030010003</v>
      </c>
      <c r="C118" t="str">
        <f>"スミスマシン"</f>
        <v>スミスマシン</v>
      </c>
      <c r="D118" s="2">
        <v>42451</v>
      </c>
      <c r="E118" s="4">
        <v>3</v>
      </c>
      <c r="F118" s="1">
        <v>1023084</v>
      </c>
      <c r="G118" s="1">
        <v>1023083</v>
      </c>
      <c r="H118" s="1">
        <v>1</v>
      </c>
      <c r="I118" s="6">
        <v>1</v>
      </c>
      <c r="J118" t="str">
        <f t="shared" ref="J118:J131" si="15">"台"</f>
        <v>台</v>
      </c>
    </row>
    <row r="119" spans="1:10" ht="15.5" customHeight="1" x14ac:dyDescent="0.2">
      <c r="A119" t="str">
        <f t="shared" si="14"/>
        <v>物品</v>
      </c>
      <c r="B119" s="5" t="str">
        <f>"427030010004"</f>
        <v>427030010004</v>
      </c>
      <c r="C119" t="str">
        <f>"レッグカール"</f>
        <v>レッグカール</v>
      </c>
      <c r="D119" s="2">
        <v>42451</v>
      </c>
      <c r="E119" s="4">
        <v>3</v>
      </c>
      <c r="F119" s="1">
        <v>683100</v>
      </c>
      <c r="G119" s="1">
        <v>683099</v>
      </c>
      <c r="H119" s="1">
        <v>1</v>
      </c>
      <c r="I119" s="6">
        <v>1</v>
      </c>
      <c r="J119" t="str">
        <f t="shared" si="15"/>
        <v>台</v>
      </c>
    </row>
    <row r="120" spans="1:10" ht="15.5" customHeight="1" x14ac:dyDescent="0.2">
      <c r="A120" t="str">
        <f t="shared" si="14"/>
        <v>物品</v>
      </c>
      <c r="B120" s="5" t="str">
        <f>"427030010005"</f>
        <v>427030010005</v>
      </c>
      <c r="C120" t="str">
        <f>"救急自動車"</f>
        <v>救急自動車</v>
      </c>
      <c r="D120" s="2">
        <v>42437</v>
      </c>
      <c r="E120" s="4">
        <v>5</v>
      </c>
      <c r="F120" s="1">
        <v>27540000</v>
      </c>
      <c r="G120" s="1">
        <v>27539999</v>
      </c>
      <c r="H120" s="1">
        <v>1</v>
      </c>
      <c r="I120" s="6">
        <v>1</v>
      </c>
      <c r="J120" t="str">
        <f t="shared" si="15"/>
        <v>台</v>
      </c>
    </row>
    <row r="121" spans="1:10" ht="15.5" customHeight="1" x14ac:dyDescent="0.2">
      <c r="A121" t="str">
        <f t="shared" si="14"/>
        <v>物品</v>
      </c>
      <c r="B121" s="5" t="str">
        <f>"427030010006"</f>
        <v>427030010006</v>
      </c>
      <c r="C121" t="str">
        <f>"ポンプ自動車"</f>
        <v>ポンプ自動車</v>
      </c>
      <c r="D121" s="2">
        <v>42437</v>
      </c>
      <c r="E121" s="4">
        <v>5</v>
      </c>
      <c r="F121" s="1">
        <v>24948000</v>
      </c>
      <c r="G121" s="1">
        <v>24947999</v>
      </c>
      <c r="H121" s="1">
        <v>1</v>
      </c>
      <c r="I121" s="6">
        <v>1</v>
      </c>
      <c r="J121" t="str">
        <f t="shared" si="15"/>
        <v>台</v>
      </c>
    </row>
    <row r="122" spans="1:10" ht="15.5" customHeight="1" x14ac:dyDescent="0.2">
      <c r="A122" t="str">
        <f t="shared" si="14"/>
        <v>物品</v>
      </c>
      <c r="B122" s="5" t="str">
        <f>"427030010007"</f>
        <v>427030010007</v>
      </c>
      <c r="C122" t="str">
        <f>"バスケット担架"</f>
        <v>バスケット担架</v>
      </c>
      <c r="D122" s="2">
        <v>42460</v>
      </c>
      <c r="E122" s="4">
        <v>15</v>
      </c>
      <c r="F122" s="1">
        <v>578880</v>
      </c>
      <c r="G122" s="1">
        <v>271488</v>
      </c>
      <c r="H122" s="1">
        <v>307392</v>
      </c>
      <c r="I122" s="6">
        <v>1</v>
      </c>
      <c r="J122" t="str">
        <f t="shared" si="15"/>
        <v>台</v>
      </c>
    </row>
    <row r="123" spans="1:10" ht="15.5" customHeight="1" x14ac:dyDescent="0.2">
      <c r="A123" t="str">
        <f t="shared" si="14"/>
        <v>物品</v>
      </c>
      <c r="B123" s="5" t="str">
        <f>"427050010001"</f>
        <v>427050010001</v>
      </c>
      <c r="C123" t="str">
        <f>"プロジェクター"</f>
        <v>プロジェクター</v>
      </c>
      <c r="D123" s="2">
        <v>42152</v>
      </c>
      <c r="E123" s="4">
        <v>5</v>
      </c>
      <c r="F123" s="1">
        <v>734400</v>
      </c>
      <c r="G123" s="1">
        <v>734399</v>
      </c>
      <c r="H123" s="1">
        <v>1</v>
      </c>
      <c r="I123" s="6">
        <v>1</v>
      </c>
      <c r="J123" t="str">
        <f t="shared" si="15"/>
        <v>台</v>
      </c>
    </row>
    <row r="124" spans="1:10" ht="15.5" customHeight="1" x14ac:dyDescent="0.2">
      <c r="A124" t="str">
        <f t="shared" si="14"/>
        <v>物品</v>
      </c>
      <c r="B124" s="5" t="str">
        <f>"427100010001"</f>
        <v>427100010001</v>
      </c>
      <c r="C124" t="str">
        <f>"高度救急処置訓練人形"</f>
        <v>高度救急処置訓練人形</v>
      </c>
      <c r="D124" s="2">
        <v>42305</v>
      </c>
      <c r="E124" s="4">
        <v>6</v>
      </c>
      <c r="F124" s="1">
        <v>2228040</v>
      </c>
      <c r="G124" s="1">
        <v>2228039</v>
      </c>
      <c r="H124" s="1">
        <v>1</v>
      </c>
      <c r="I124" s="6">
        <v>1</v>
      </c>
      <c r="J124" t="str">
        <f t="shared" si="15"/>
        <v>台</v>
      </c>
    </row>
    <row r="125" spans="1:10" ht="15.5" customHeight="1" x14ac:dyDescent="0.2">
      <c r="A125" t="str">
        <f t="shared" si="14"/>
        <v>物品</v>
      </c>
      <c r="B125" s="5" t="str">
        <f>"427110010001"</f>
        <v>427110010001</v>
      </c>
      <c r="C125" t="str">
        <f t="shared" ref="C125:C127" si="16">"滅菌器"</f>
        <v>滅菌器</v>
      </c>
      <c r="D125" s="2">
        <v>42313</v>
      </c>
      <c r="E125" s="4">
        <v>4</v>
      </c>
      <c r="F125" s="1">
        <v>643680</v>
      </c>
      <c r="G125" s="1">
        <v>643679</v>
      </c>
      <c r="H125" s="1">
        <v>1</v>
      </c>
      <c r="I125" s="6">
        <v>1</v>
      </c>
      <c r="J125" t="str">
        <f t="shared" si="15"/>
        <v>台</v>
      </c>
    </row>
    <row r="126" spans="1:10" ht="15.5" customHeight="1" x14ac:dyDescent="0.2">
      <c r="A126" t="str">
        <f t="shared" si="14"/>
        <v>物品</v>
      </c>
      <c r="B126" s="5" t="str">
        <f>"427110010002"</f>
        <v>427110010002</v>
      </c>
      <c r="C126" t="str">
        <f t="shared" si="16"/>
        <v>滅菌器</v>
      </c>
      <c r="D126" s="2">
        <v>42321</v>
      </c>
      <c r="E126" s="4">
        <v>4</v>
      </c>
      <c r="F126" s="1">
        <v>610200</v>
      </c>
      <c r="G126" s="1">
        <v>610199</v>
      </c>
      <c r="H126" s="1">
        <v>1</v>
      </c>
      <c r="I126" s="6">
        <v>1</v>
      </c>
      <c r="J126" t="str">
        <f t="shared" si="15"/>
        <v>台</v>
      </c>
    </row>
    <row r="127" spans="1:10" ht="15.5" customHeight="1" x14ac:dyDescent="0.2">
      <c r="A127" t="str">
        <f t="shared" si="14"/>
        <v>物品</v>
      </c>
      <c r="B127" s="5" t="str">
        <f>"427110010003"</f>
        <v>427110010003</v>
      </c>
      <c r="C127" t="str">
        <f t="shared" si="16"/>
        <v>滅菌器</v>
      </c>
      <c r="D127" s="2">
        <v>42321</v>
      </c>
      <c r="E127" s="4">
        <v>4</v>
      </c>
      <c r="F127" s="1">
        <v>610200</v>
      </c>
      <c r="G127" s="1">
        <v>610199</v>
      </c>
      <c r="H127" s="1">
        <v>1</v>
      </c>
      <c r="I127" s="6">
        <v>1</v>
      </c>
      <c r="J127" t="str">
        <f t="shared" si="15"/>
        <v>台</v>
      </c>
    </row>
    <row r="128" spans="1:10" ht="15.5" customHeight="1" x14ac:dyDescent="0.2">
      <c r="A128" t="str">
        <f t="shared" si="14"/>
        <v>物品</v>
      </c>
      <c r="B128" s="5" t="str">
        <f>"427110010004"</f>
        <v>427110010004</v>
      </c>
      <c r="C128" t="str">
        <f>"オゾン除染器"</f>
        <v>オゾン除染器</v>
      </c>
      <c r="D128" s="2">
        <v>42326</v>
      </c>
      <c r="E128" s="4">
        <v>4</v>
      </c>
      <c r="F128" s="1">
        <v>698760</v>
      </c>
      <c r="G128" s="1">
        <v>698759</v>
      </c>
      <c r="H128" s="1">
        <v>1</v>
      </c>
      <c r="I128" s="6">
        <v>1</v>
      </c>
      <c r="J128" t="str">
        <f t="shared" si="15"/>
        <v>台</v>
      </c>
    </row>
    <row r="129" spans="1:10" ht="15.5" customHeight="1" x14ac:dyDescent="0.2">
      <c r="A129" t="str">
        <f t="shared" si="14"/>
        <v>物品</v>
      </c>
      <c r="B129" s="5" t="str">
        <f>"428010010001"</f>
        <v>428010010001</v>
      </c>
      <c r="C129" t="str">
        <f>"滅菌器"</f>
        <v>滅菌器</v>
      </c>
      <c r="D129" s="2">
        <v>42765</v>
      </c>
      <c r="E129" s="4">
        <v>4</v>
      </c>
      <c r="F129" s="1">
        <v>534600</v>
      </c>
      <c r="G129" s="1">
        <v>534599</v>
      </c>
      <c r="H129" s="1">
        <v>1</v>
      </c>
      <c r="I129" s="6">
        <v>1</v>
      </c>
      <c r="J129" t="str">
        <f t="shared" si="15"/>
        <v>台</v>
      </c>
    </row>
    <row r="130" spans="1:10" ht="15.5" customHeight="1" x14ac:dyDescent="0.2">
      <c r="A130" t="str">
        <f t="shared" si="14"/>
        <v>物品</v>
      </c>
      <c r="B130" s="5" t="str">
        <f>"428010010002"</f>
        <v>428010010002</v>
      </c>
      <c r="C130" t="str">
        <f>"高度救急処置訓練人形"</f>
        <v>高度救急処置訓練人形</v>
      </c>
      <c r="D130" s="2">
        <v>42752</v>
      </c>
      <c r="E130" s="4">
        <v>6</v>
      </c>
      <c r="F130" s="1">
        <v>1900800</v>
      </c>
      <c r="G130" s="1">
        <v>1900799</v>
      </c>
      <c r="H130" s="1">
        <v>1</v>
      </c>
      <c r="I130" s="6">
        <v>1</v>
      </c>
      <c r="J130" t="str">
        <f t="shared" si="15"/>
        <v>台</v>
      </c>
    </row>
    <row r="131" spans="1:10" ht="15.5" customHeight="1" x14ac:dyDescent="0.2">
      <c r="A131" t="str">
        <f t="shared" si="14"/>
        <v>物品</v>
      </c>
      <c r="B131" s="5" t="str">
        <f>"428020010001"</f>
        <v>428020010001</v>
      </c>
      <c r="C131" t="str">
        <f>"化学消防ポンプ車"</f>
        <v>化学消防ポンプ車</v>
      </c>
      <c r="D131" s="2">
        <v>42783</v>
      </c>
      <c r="E131" s="4">
        <v>5</v>
      </c>
      <c r="F131" s="1">
        <v>66420000</v>
      </c>
      <c r="G131" s="1">
        <v>66419999</v>
      </c>
      <c r="H131" s="1">
        <v>1</v>
      </c>
      <c r="I131" s="6">
        <v>1</v>
      </c>
      <c r="J131" t="str">
        <f t="shared" si="15"/>
        <v>台</v>
      </c>
    </row>
    <row r="132" spans="1:10" ht="15.5" customHeight="1" x14ac:dyDescent="0.2">
      <c r="A132" t="str">
        <f>"建物"</f>
        <v>建物</v>
      </c>
      <c r="B132" s="5" t="str">
        <f>"428020010002"</f>
        <v>428020010002</v>
      </c>
      <c r="C132" t="str">
        <f>"淡路広域消防事務組合　西淡出張所"</f>
        <v>淡路広域消防事務組合　西淡出張所</v>
      </c>
      <c r="D132" s="2">
        <v>42794</v>
      </c>
      <c r="E132" s="4">
        <v>50</v>
      </c>
      <c r="F132" s="1">
        <v>1976400</v>
      </c>
      <c r="G132" s="1">
        <v>237168</v>
      </c>
      <c r="H132" s="1">
        <v>1739232</v>
      </c>
      <c r="I132" s="5" t="str">
        <f>"9.80"</f>
        <v>9.80</v>
      </c>
      <c r="J132" t="str">
        <f>"㎡"</f>
        <v>㎡</v>
      </c>
    </row>
    <row r="133" spans="1:10" ht="15.5" customHeight="1" x14ac:dyDescent="0.2">
      <c r="A133" t="str">
        <f t="shared" ref="A133:A146" si="17">"物品"</f>
        <v>物品</v>
      </c>
      <c r="B133" s="5" t="str">
        <f>"428030010001"</f>
        <v>428030010001</v>
      </c>
      <c r="C133" t="str">
        <f>"総務連絡車(その他)"</f>
        <v>総務連絡車(その他)</v>
      </c>
      <c r="D133" s="2">
        <v>42796</v>
      </c>
      <c r="E133" s="4">
        <v>6</v>
      </c>
      <c r="F133" s="1">
        <v>2797200</v>
      </c>
      <c r="G133" s="1">
        <v>2797199</v>
      </c>
      <c r="H133" s="1">
        <v>1</v>
      </c>
      <c r="I133" s="6">
        <v>1</v>
      </c>
      <c r="J133" t="str">
        <f>"台"</f>
        <v>台</v>
      </c>
    </row>
    <row r="134" spans="1:10" ht="15.5" customHeight="1" x14ac:dyDescent="0.2">
      <c r="A134" t="str">
        <f t="shared" si="17"/>
        <v>物品</v>
      </c>
      <c r="B134" s="5" t="str">
        <f>"428120010001"</f>
        <v>428120010001</v>
      </c>
      <c r="C134" t="str">
        <f>"救急自動車"</f>
        <v>救急自動車</v>
      </c>
      <c r="D134" s="2">
        <v>42716</v>
      </c>
      <c r="E134" s="4">
        <v>5</v>
      </c>
      <c r="F134" s="1">
        <v>26676000</v>
      </c>
      <c r="G134" s="1">
        <v>26675999</v>
      </c>
      <c r="H134" s="1">
        <v>1</v>
      </c>
      <c r="I134" s="5">
        <v>1</v>
      </c>
      <c r="J134" t="s">
        <v>4</v>
      </c>
    </row>
    <row r="135" spans="1:10" ht="15.5" customHeight="1" x14ac:dyDescent="0.2">
      <c r="A135" t="str">
        <f t="shared" si="17"/>
        <v>物品</v>
      </c>
      <c r="B135" s="5" t="str">
        <f>"428120010002"</f>
        <v>428120010002</v>
      </c>
      <c r="C135" t="str">
        <f>"救急自動車"</f>
        <v>救急自動車</v>
      </c>
      <c r="D135" s="2">
        <v>42717</v>
      </c>
      <c r="E135" s="4">
        <v>5</v>
      </c>
      <c r="F135" s="1">
        <v>26676000</v>
      </c>
      <c r="G135" s="1">
        <v>26675999</v>
      </c>
      <c r="H135" s="1">
        <v>1</v>
      </c>
      <c r="I135" s="5">
        <v>1</v>
      </c>
      <c r="J135" t="s">
        <v>4</v>
      </c>
    </row>
    <row r="136" spans="1:10" ht="15.5" customHeight="1" x14ac:dyDescent="0.2">
      <c r="A136" t="str">
        <f t="shared" si="17"/>
        <v>物品</v>
      </c>
      <c r="B136" s="5" t="str">
        <f>"429020010001"</f>
        <v>429020010001</v>
      </c>
      <c r="C136" t="str">
        <f>"救助工作自動車"</f>
        <v>救助工作自動車</v>
      </c>
      <c r="D136" s="2">
        <v>43157</v>
      </c>
      <c r="E136" s="4">
        <v>5</v>
      </c>
      <c r="F136" s="1">
        <v>117396000</v>
      </c>
      <c r="G136" s="1">
        <v>117395999</v>
      </c>
      <c r="H136" s="1">
        <v>1</v>
      </c>
      <c r="I136" s="5">
        <v>1</v>
      </c>
      <c r="J136" t="s">
        <v>4</v>
      </c>
    </row>
    <row r="137" spans="1:10" ht="15.5" customHeight="1" x14ac:dyDescent="0.2">
      <c r="A137" t="str">
        <f t="shared" si="17"/>
        <v>物品</v>
      </c>
      <c r="B137" s="5" t="str">
        <f>"429090010001"</f>
        <v>429090010001</v>
      </c>
      <c r="C137" t="str">
        <f>"滅菌器"</f>
        <v>滅菌器</v>
      </c>
      <c r="D137" s="2">
        <v>42990</v>
      </c>
      <c r="E137" s="4">
        <v>4</v>
      </c>
      <c r="F137" s="1">
        <v>588600</v>
      </c>
      <c r="G137" s="1">
        <v>588599</v>
      </c>
      <c r="H137" s="1">
        <v>1</v>
      </c>
      <c r="I137" s="5">
        <v>1</v>
      </c>
      <c r="J137" t="s">
        <v>4</v>
      </c>
    </row>
    <row r="138" spans="1:10" ht="15.5" customHeight="1" x14ac:dyDescent="0.2">
      <c r="A138" t="str">
        <f t="shared" si="17"/>
        <v>物品</v>
      </c>
      <c r="B138" s="5" t="str">
        <f>"429090010002"</f>
        <v>429090010002</v>
      </c>
      <c r="C138" t="str">
        <f>"高度救急処置訓練人形"</f>
        <v>高度救急処置訓練人形</v>
      </c>
      <c r="D138" s="2">
        <v>43007</v>
      </c>
      <c r="E138" s="4">
        <v>6</v>
      </c>
      <c r="F138" s="1">
        <v>1900800</v>
      </c>
      <c r="G138" s="1">
        <v>1587165</v>
      </c>
      <c r="H138" s="1">
        <v>313635</v>
      </c>
      <c r="I138" s="6">
        <v>1</v>
      </c>
      <c r="J138" t="str">
        <f t="shared" ref="J138:J141" si="18">"台"</f>
        <v>台</v>
      </c>
    </row>
    <row r="139" spans="1:10" ht="15.5" customHeight="1" x14ac:dyDescent="0.2">
      <c r="A139" t="str">
        <f t="shared" si="17"/>
        <v>物品</v>
      </c>
      <c r="B139" s="5" t="str">
        <f>"429100010001"</f>
        <v>429100010001</v>
      </c>
      <c r="C139" t="str">
        <f>"消毒器（オゾン水生成装置）"</f>
        <v>消毒器（オゾン水生成装置）</v>
      </c>
      <c r="D139" s="2">
        <v>43039</v>
      </c>
      <c r="E139" s="4">
        <v>4</v>
      </c>
      <c r="F139" s="1">
        <v>702000</v>
      </c>
      <c r="G139" s="1">
        <v>701999</v>
      </c>
      <c r="H139" s="1">
        <v>1</v>
      </c>
      <c r="I139" s="6">
        <v>1</v>
      </c>
      <c r="J139" t="str">
        <f t="shared" si="18"/>
        <v>台</v>
      </c>
    </row>
    <row r="140" spans="1:10" ht="15.5" customHeight="1" x14ac:dyDescent="0.2">
      <c r="A140" t="str">
        <f t="shared" si="17"/>
        <v>物品</v>
      </c>
      <c r="B140" s="5" t="str">
        <f>"429100010002"</f>
        <v>429100010002</v>
      </c>
      <c r="C140" t="str">
        <f>"消毒器（オゾン水生成装置）"</f>
        <v>消毒器（オゾン水生成装置）</v>
      </c>
      <c r="D140" s="2">
        <v>43039</v>
      </c>
      <c r="E140" s="4">
        <v>4</v>
      </c>
      <c r="F140" s="1">
        <v>702000</v>
      </c>
      <c r="G140" s="1">
        <v>701999</v>
      </c>
      <c r="H140" s="1">
        <v>1</v>
      </c>
      <c r="I140" s="6">
        <v>1</v>
      </c>
      <c r="J140" t="str">
        <f t="shared" si="18"/>
        <v>台</v>
      </c>
    </row>
    <row r="141" spans="1:10" ht="15.5" customHeight="1" x14ac:dyDescent="0.2">
      <c r="A141" t="str">
        <f t="shared" si="17"/>
        <v>物品</v>
      </c>
      <c r="B141" s="5" t="str">
        <f>"429120010001"</f>
        <v>429120010001</v>
      </c>
      <c r="C141" t="str">
        <f>"救急自動車"</f>
        <v>救急自動車</v>
      </c>
      <c r="D141" s="2">
        <v>43094</v>
      </c>
      <c r="E141" s="4">
        <v>5</v>
      </c>
      <c r="F141" s="1">
        <v>27432000</v>
      </c>
      <c r="G141" s="1">
        <v>27431999</v>
      </c>
      <c r="H141" s="1">
        <v>1</v>
      </c>
      <c r="I141" s="6">
        <v>1</v>
      </c>
      <c r="J141" t="str">
        <f t="shared" si="18"/>
        <v>台</v>
      </c>
    </row>
    <row r="142" spans="1:10" ht="15.5" customHeight="1" x14ac:dyDescent="0.2">
      <c r="A142" t="str">
        <f t="shared" si="17"/>
        <v>物品</v>
      </c>
      <c r="B142" s="5" t="str">
        <f>"430020010001"</f>
        <v>430020010001</v>
      </c>
      <c r="C142" t="str">
        <f>"消防ポンプ自動車"</f>
        <v>消防ポンプ自動車</v>
      </c>
      <c r="D142" s="2">
        <v>43523</v>
      </c>
      <c r="E142" s="4">
        <v>5</v>
      </c>
      <c r="F142" s="1">
        <v>39528000</v>
      </c>
      <c r="G142" s="1">
        <v>31622400</v>
      </c>
      <c r="H142" s="1">
        <v>7905600</v>
      </c>
      <c r="I142" s="6">
        <v>1</v>
      </c>
      <c r="J142" t="str">
        <f>"台"</f>
        <v>台</v>
      </c>
    </row>
    <row r="143" spans="1:10" ht="15.5" customHeight="1" x14ac:dyDescent="0.2">
      <c r="A143" t="str">
        <f t="shared" si="17"/>
        <v>物品</v>
      </c>
      <c r="B143" s="5" t="str">
        <f>"430020010002"</f>
        <v>430020010002</v>
      </c>
      <c r="C143" t="str">
        <f>"消防資機材搬送車"</f>
        <v>消防資機材搬送車</v>
      </c>
      <c r="D143" s="2">
        <v>43523</v>
      </c>
      <c r="E143" s="4">
        <v>5</v>
      </c>
      <c r="F143" s="1">
        <v>8154000</v>
      </c>
      <c r="G143" s="1">
        <v>6523200</v>
      </c>
      <c r="H143" s="1">
        <v>1630800</v>
      </c>
      <c r="I143" s="6">
        <v>1</v>
      </c>
      <c r="J143" t="str">
        <f>"台"</f>
        <v>台</v>
      </c>
    </row>
    <row r="144" spans="1:10" ht="15.5" customHeight="1" x14ac:dyDescent="0.2">
      <c r="A144" t="str">
        <f t="shared" si="17"/>
        <v>物品</v>
      </c>
      <c r="B144" s="5" t="str">
        <f>"430020010003"</f>
        <v>430020010003</v>
      </c>
      <c r="C144" t="str">
        <f>"可搬式小型ポンプ"</f>
        <v>可搬式小型ポンプ</v>
      </c>
      <c r="D144" s="2">
        <v>43523</v>
      </c>
      <c r="E144" s="4">
        <v>6</v>
      </c>
      <c r="F144" s="1">
        <v>756000</v>
      </c>
      <c r="G144" s="1">
        <v>505008</v>
      </c>
      <c r="H144" s="1">
        <v>250992</v>
      </c>
      <c r="I144" s="6">
        <v>1</v>
      </c>
      <c r="J144" t="str">
        <f>"台"</f>
        <v>台</v>
      </c>
    </row>
    <row r="145" spans="1:10" ht="15.5" customHeight="1" x14ac:dyDescent="0.2">
      <c r="A145" t="str">
        <f t="shared" si="17"/>
        <v>物品</v>
      </c>
      <c r="B145" s="5" t="str">
        <f>"430030010001"</f>
        <v>430030010001</v>
      </c>
      <c r="C145" t="str">
        <f>"指令システム機器更新"</f>
        <v>指令システム機器更新</v>
      </c>
      <c r="D145" s="2">
        <v>43532</v>
      </c>
      <c r="E145" s="4">
        <v>10</v>
      </c>
      <c r="F145" s="1">
        <v>4179600</v>
      </c>
      <c r="G145" s="1">
        <v>1671840</v>
      </c>
      <c r="H145" s="1">
        <v>2507760</v>
      </c>
    </row>
    <row r="146" spans="1:10" ht="15.5" customHeight="1" x14ac:dyDescent="0.2">
      <c r="A146" t="str">
        <f t="shared" si="17"/>
        <v>物品</v>
      </c>
      <c r="B146" s="5" t="str">
        <f>"430100010001"</f>
        <v>430100010001</v>
      </c>
      <c r="C146" t="str">
        <f>"救急自動車"</f>
        <v>救急自動車</v>
      </c>
      <c r="D146" s="2">
        <v>43384</v>
      </c>
      <c r="E146" s="4">
        <v>5</v>
      </c>
      <c r="F146" s="1">
        <v>27756000</v>
      </c>
      <c r="G146" s="1">
        <v>22204800</v>
      </c>
      <c r="H146" s="1">
        <v>5551200</v>
      </c>
      <c r="I146" s="6">
        <v>1</v>
      </c>
      <c r="J146" t="str">
        <f>"台"</f>
        <v>台</v>
      </c>
    </row>
    <row r="147" spans="1:10" ht="15.5" customHeight="1" x14ac:dyDescent="0.2">
      <c r="A147" t="str">
        <f>"建物"</f>
        <v>建物</v>
      </c>
      <c r="B147" s="5" t="str">
        <f>"430100010002"</f>
        <v>430100010002</v>
      </c>
      <c r="C147" t="str">
        <f>"五色出張所　車庫間口拡張改修工事"</f>
        <v>五色出張所　車庫間口拡張改修工事</v>
      </c>
      <c r="D147" s="2">
        <v>43375</v>
      </c>
      <c r="E147" s="4">
        <v>50</v>
      </c>
      <c r="F147" s="1">
        <v>4040361</v>
      </c>
      <c r="G147" s="1">
        <v>323228</v>
      </c>
      <c r="H147" s="1">
        <v>3717133</v>
      </c>
    </row>
    <row r="148" spans="1:10" ht="15.5" customHeight="1" x14ac:dyDescent="0.2">
      <c r="A148" t="str">
        <f>"物品"</f>
        <v>物品</v>
      </c>
      <c r="B148" s="5" t="str">
        <f>"431010010001"</f>
        <v>431010010001</v>
      </c>
      <c r="C148" t="str">
        <f>"救急自動車"</f>
        <v>救急自動車</v>
      </c>
      <c r="D148" s="2">
        <v>43858</v>
      </c>
      <c r="E148" s="4">
        <v>5</v>
      </c>
      <c r="F148" s="1">
        <v>29920000</v>
      </c>
      <c r="G148" s="1">
        <v>17952000</v>
      </c>
      <c r="H148" s="1">
        <v>11968000</v>
      </c>
      <c r="I148" s="6">
        <v>1</v>
      </c>
      <c r="J148" t="str">
        <f t="shared" ref="J148:J149" si="19">"台"</f>
        <v>台</v>
      </c>
    </row>
    <row r="149" spans="1:10" ht="15.5" customHeight="1" x14ac:dyDescent="0.2">
      <c r="A149" t="str">
        <f>"物品"</f>
        <v>物品</v>
      </c>
      <c r="B149" s="5" t="str">
        <f>"431030010001"</f>
        <v>431030010001</v>
      </c>
      <c r="C149" t="str">
        <f>"消防ポンプ自動車"</f>
        <v>消防ポンプ自動車</v>
      </c>
      <c r="D149" s="2">
        <v>43917</v>
      </c>
      <c r="E149" s="4">
        <v>5</v>
      </c>
      <c r="F149" s="1">
        <v>42130000</v>
      </c>
      <c r="G149" s="1">
        <v>25278000</v>
      </c>
      <c r="H149" s="1">
        <v>16852000</v>
      </c>
      <c r="I149" s="6">
        <v>1</v>
      </c>
      <c r="J149" t="str">
        <f t="shared" si="19"/>
        <v>台</v>
      </c>
    </row>
    <row r="150" spans="1:10" ht="15.5" customHeight="1" x14ac:dyDescent="0.2">
      <c r="A150" t="str">
        <f>"建物附属設備"</f>
        <v>建物附属設備</v>
      </c>
      <c r="B150" s="5" t="str">
        <f>"431030010002"</f>
        <v>431030010002</v>
      </c>
      <c r="C150" t="str">
        <f>"南淡分署簡易訓練施設設置工事"</f>
        <v>南淡分署簡易訓練施設設置工事</v>
      </c>
      <c r="D150" s="2">
        <v>43921</v>
      </c>
      <c r="E150" s="4">
        <v>18</v>
      </c>
      <c r="F150" s="1">
        <v>715000</v>
      </c>
      <c r="G150" s="1">
        <v>120120</v>
      </c>
      <c r="H150" s="1">
        <v>594880</v>
      </c>
    </row>
    <row r="151" spans="1:10" ht="15.5" customHeight="1" x14ac:dyDescent="0.2">
      <c r="A151" t="str">
        <f>"物品"</f>
        <v>物品</v>
      </c>
      <c r="B151" s="5" t="str">
        <f>"431030010003"</f>
        <v>431030010003</v>
      </c>
      <c r="C151" t="str">
        <f>"指令システム機器更新"</f>
        <v>指令システム機器更新</v>
      </c>
      <c r="D151" s="2">
        <v>43903</v>
      </c>
      <c r="E151" s="4">
        <v>10</v>
      </c>
      <c r="F151" s="1">
        <v>67884300</v>
      </c>
      <c r="G151" s="1">
        <v>20365290</v>
      </c>
      <c r="H151" s="1">
        <v>47519010</v>
      </c>
    </row>
    <row r="152" spans="1:10" ht="15.5" customHeight="1" x14ac:dyDescent="0.2">
      <c r="A152" t="str">
        <f>"ソフトウェア"</f>
        <v>ソフトウェア</v>
      </c>
      <c r="B152" s="5" t="str">
        <f>"431030010004"</f>
        <v>431030010004</v>
      </c>
      <c r="C152" t="str">
        <f>"NET119緊急通報システム"</f>
        <v>NET119緊急通報システム</v>
      </c>
      <c r="D152" s="2">
        <v>43921</v>
      </c>
      <c r="E152" s="4">
        <v>5</v>
      </c>
      <c r="F152" s="1">
        <v>1650000</v>
      </c>
      <c r="G152" s="1">
        <v>990000</v>
      </c>
      <c r="H152" s="1">
        <v>660000</v>
      </c>
      <c r="I152" s="8">
        <v>1</v>
      </c>
      <c r="J152" t="s">
        <v>3</v>
      </c>
    </row>
    <row r="153" spans="1:10" ht="15.5" customHeight="1" x14ac:dyDescent="0.2">
      <c r="A153" t="str">
        <f>"ソフトウェア"</f>
        <v>ソフトウェア</v>
      </c>
      <c r="B153" s="5" t="str">
        <f>"431060010001"</f>
        <v>431060010001</v>
      </c>
      <c r="C153" t="str">
        <f>"消防OAシステム改修（元号改正）"</f>
        <v>消防OAシステム改修（元号改正）</v>
      </c>
      <c r="D153" s="2">
        <v>43646</v>
      </c>
      <c r="E153" s="4">
        <v>5</v>
      </c>
      <c r="F153" s="1">
        <v>3132000</v>
      </c>
      <c r="G153" s="1">
        <v>1879200</v>
      </c>
      <c r="H153" s="1">
        <v>1252800</v>
      </c>
    </row>
    <row r="154" spans="1:10" ht="15.5" customHeight="1" x14ac:dyDescent="0.2">
      <c r="A154" t="str">
        <f>"建物附属設備"</f>
        <v>建物附属設備</v>
      </c>
      <c r="B154" s="5" t="str">
        <f>"431090010001"</f>
        <v>431090010001</v>
      </c>
      <c r="C154" t="str">
        <f>"洲本消防署女性室改修工事"</f>
        <v>洲本消防署女性室改修工事</v>
      </c>
      <c r="D154" s="2">
        <v>43725</v>
      </c>
      <c r="E154" s="4">
        <v>15</v>
      </c>
      <c r="F154" s="1">
        <v>2381400</v>
      </c>
      <c r="G154" s="1">
        <v>478659</v>
      </c>
      <c r="H154" s="1">
        <v>1902741</v>
      </c>
    </row>
    <row r="155" spans="1:10" ht="15.5" customHeight="1" x14ac:dyDescent="0.2">
      <c r="A155" t="str">
        <f>"物品"</f>
        <v>物品</v>
      </c>
      <c r="B155" s="5" t="str">
        <f>"431100010001"</f>
        <v>431100010001</v>
      </c>
      <c r="C155" t="str">
        <f>"マット型空気ジャッキ（救助工作車）"</f>
        <v>マット型空気ジャッキ（救助工作車）</v>
      </c>
      <c r="D155" s="2">
        <v>43748</v>
      </c>
      <c r="E155" s="4">
        <v>5</v>
      </c>
      <c r="F155" s="1">
        <v>651200</v>
      </c>
      <c r="G155" s="1">
        <v>390720</v>
      </c>
      <c r="H155" s="1">
        <v>260480</v>
      </c>
      <c r="I155" s="8">
        <v>1</v>
      </c>
      <c r="J155" t="s">
        <v>5</v>
      </c>
    </row>
    <row r="156" spans="1:10" ht="15.5" customHeight="1" x14ac:dyDescent="0.2">
      <c r="A156" t="str">
        <f>"物品"</f>
        <v>物品</v>
      </c>
      <c r="B156" s="5" t="str">
        <f>"502010010001"</f>
        <v>502010010001</v>
      </c>
      <c r="C156" t="str">
        <f>"救急自動車"</f>
        <v>救急自動車</v>
      </c>
      <c r="D156" s="2">
        <v>44225</v>
      </c>
      <c r="E156" s="4">
        <v>5</v>
      </c>
      <c r="F156" s="1">
        <v>31900000</v>
      </c>
      <c r="G156" s="1">
        <v>12760000</v>
      </c>
      <c r="H156" s="1">
        <v>19140000</v>
      </c>
      <c r="I156" s="5">
        <v>1</v>
      </c>
      <c r="J156" t="str">
        <f>"台"</f>
        <v>台</v>
      </c>
    </row>
    <row r="157" spans="1:10" ht="15.5" customHeight="1" x14ac:dyDescent="0.2">
      <c r="A157" t="str">
        <f>"建物附属設備"</f>
        <v>建物附属設備</v>
      </c>
      <c r="B157" s="5" t="str">
        <f>"502020010001"</f>
        <v>502020010001</v>
      </c>
      <c r="C157" t="str">
        <f>"中央監視装置予防保全機器"</f>
        <v>中央監視装置予防保全機器</v>
      </c>
      <c r="D157" s="2">
        <v>44246</v>
      </c>
      <c r="E157" s="4">
        <v>7</v>
      </c>
      <c r="F157" s="1">
        <v>1430000</v>
      </c>
      <c r="G157" s="1">
        <v>408980</v>
      </c>
      <c r="H157" s="1">
        <v>1021020</v>
      </c>
      <c r="I157" s="5">
        <v>1</v>
      </c>
      <c r="J157" t="str">
        <f>"棟"</f>
        <v>棟</v>
      </c>
    </row>
    <row r="158" spans="1:10" ht="15.5" customHeight="1" x14ac:dyDescent="0.2">
      <c r="A158" t="str">
        <f>"物品"</f>
        <v>物品</v>
      </c>
      <c r="B158" s="5" t="str">
        <f>"502030010001"</f>
        <v>502030010001</v>
      </c>
      <c r="C158" t="str">
        <f>"オゾン発生装置"</f>
        <v>オゾン発生装置</v>
      </c>
      <c r="D158" s="2">
        <v>44280</v>
      </c>
      <c r="E158" s="4">
        <v>4</v>
      </c>
      <c r="F158" s="1">
        <v>1349425</v>
      </c>
      <c r="G158" s="1">
        <v>674712</v>
      </c>
      <c r="H158" s="1">
        <v>674713</v>
      </c>
      <c r="I158" s="5">
        <v>1</v>
      </c>
      <c r="J158" t="str">
        <f>"台"</f>
        <v>台</v>
      </c>
    </row>
    <row r="159" spans="1:10" ht="15.5" customHeight="1" x14ac:dyDescent="0.2">
      <c r="A159" t="str">
        <f>"物品"</f>
        <v>物品</v>
      </c>
      <c r="B159" s="5" t="str">
        <f>"502030010002"</f>
        <v>502030010002</v>
      </c>
      <c r="C159" t="str">
        <f>"オゾン発生装置"</f>
        <v>オゾン発生装置</v>
      </c>
      <c r="D159" s="2">
        <v>44280</v>
      </c>
      <c r="E159" s="4">
        <v>4</v>
      </c>
      <c r="F159" s="1">
        <v>1349425</v>
      </c>
      <c r="G159" s="1">
        <v>674712</v>
      </c>
      <c r="H159" s="1">
        <v>674713</v>
      </c>
      <c r="I159" s="5">
        <v>1</v>
      </c>
      <c r="J159" t="str">
        <f>"台"</f>
        <v>台</v>
      </c>
    </row>
    <row r="160" spans="1:10" ht="15.5" customHeight="1" x14ac:dyDescent="0.2">
      <c r="A160" t="str">
        <f>"物品"</f>
        <v>物品</v>
      </c>
      <c r="B160" s="5" t="str">
        <f>"502030010003"</f>
        <v>502030010003</v>
      </c>
      <c r="C160" t="str">
        <f>"熱画像直視装置"</f>
        <v>熱画像直視装置</v>
      </c>
      <c r="D160" s="2">
        <v>44280</v>
      </c>
      <c r="E160" s="4">
        <v>8</v>
      </c>
      <c r="F160" s="1">
        <v>660000</v>
      </c>
      <c r="G160" s="1">
        <v>165000</v>
      </c>
      <c r="H160" s="1">
        <v>495000</v>
      </c>
      <c r="I160" s="5">
        <v>1</v>
      </c>
      <c r="J160" t="str">
        <f>"台"</f>
        <v>台</v>
      </c>
    </row>
    <row r="161" spans="1:10" ht="15.5" customHeight="1" x14ac:dyDescent="0.2">
      <c r="A161" t="str">
        <f>"建物"</f>
        <v>建物</v>
      </c>
      <c r="B161" s="5" t="str">
        <f>"502030010004"</f>
        <v>502030010004</v>
      </c>
      <c r="C161" t="str">
        <f>"淡路広域消防事務組合　由良出張所"</f>
        <v>淡路広域消防事務組合　由良出張所</v>
      </c>
      <c r="D161" s="2">
        <v>44271</v>
      </c>
      <c r="E161" s="4">
        <v>38</v>
      </c>
      <c r="F161" s="1">
        <v>163992963</v>
      </c>
      <c r="G161" s="1">
        <v>8855620</v>
      </c>
      <c r="H161" s="1">
        <v>155137343</v>
      </c>
      <c r="I161" s="5" t="str">
        <f>"468.00"</f>
        <v>468.00</v>
      </c>
      <c r="J161" t="str">
        <f>"㎡"</f>
        <v>㎡</v>
      </c>
    </row>
    <row r="162" spans="1:10" ht="15.5" customHeight="1" x14ac:dyDescent="0.2">
      <c r="A162" t="str">
        <f>"建物附属設備"</f>
        <v>建物附属設備</v>
      </c>
      <c r="B162" s="5" t="str">
        <f>"502030010005"</f>
        <v>502030010005</v>
      </c>
      <c r="C162" t="str">
        <f>"淡路広域消防事務組合　由良出張所（電気設備）"</f>
        <v>淡路広域消防事務組合　由良出張所（電気設備）</v>
      </c>
      <c r="D162" s="2">
        <v>44271</v>
      </c>
      <c r="E162" s="4">
        <v>15</v>
      </c>
      <c r="F162" s="1">
        <v>26547497</v>
      </c>
      <c r="G162" s="1">
        <v>3557364</v>
      </c>
      <c r="H162" s="1">
        <v>22990133</v>
      </c>
      <c r="I162" s="5" t="str">
        <f>"468.00"</f>
        <v>468.00</v>
      </c>
      <c r="J162" t="str">
        <f>"㎡"</f>
        <v>㎡</v>
      </c>
    </row>
    <row r="163" spans="1:10" ht="15.5" customHeight="1" x14ac:dyDescent="0.2">
      <c r="A163" t="str">
        <f>"建物附属設備"</f>
        <v>建物附属設備</v>
      </c>
      <c r="B163" s="5" t="str">
        <f>"502030010006"</f>
        <v>502030010006</v>
      </c>
      <c r="C163" t="str">
        <f>"淡路広域消防事務組合　由良出張所（空調設備）"</f>
        <v>淡路広域消防事務組合　由良出張所（空調設備）</v>
      </c>
      <c r="D163" s="2">
        <v>44271</v>
      </c>
      <c r="E163" s="4">
        <v>15</v>
      </c>
      <c r="F163" s="1">
        <v>7267573</v>
      </c>
      <c r="G163" s="1">
        <v>973854</v>
      </c>
      <c r="H163" s="1">
        <v>6293719</v>
      </c>
      <c r="I163" s="5" t="str">
        <f>"468.00"</f>
        <v>468.00</v>
      </c>
      <c r="J163" t="str">
        <f>"㎡"</f>
        <v>㎡</v>
      </c>
    </row>
    <row r="164" spans="1:10" ht="15.5" customHeight="1" x14ac:dyDescent="0.2">
      <c r="A164" t="str">
        <f>"建物附属設備"</f>
        <v>建物附属設備</v>
      </c>
      <c r="B164" s="5" t="str">
        <f>"502030010007"</f>
        <v>502030010007</v>
      </c>
      <c r="C164" t="str">
        <f>"淡路広域消防事務組合　由良出張所（給排水設備）"</f>
        <v>淡路広域消防事務組合　由良出張所（給排水設備）</v>
      </c>
      <c r="D164" s="2">
        <v>44271</v>
      </c>
      <c r="E164" s="4">
        <v>15</v>
      </c>
      <c r="F164" s="1">
        <v>14658467</v>
      </c>
      <c r="G164" s="1">
        <v>1964234</v>
      </c>
      <c r="H164" s="1">
        <v>12694233</v>
      </c>
      <c r="I164" s="5" t="str">
        <f>"468.00"</f>
        <v>468.00</v>
      </c>
      <c r="J164" t="str">
        <f>"㎡"</f>
        <v>㎡</v>
      </c>
    </row>
    <row r="165" spans="1:10" ht="15.5" customHeight="1" x14ac:dyDescent="0.2">
      <c r="A165" t="str">
        <f>"建物"</f>
        <v>建物</v>
      </c>
      <c r="B165" s="5" t="str">
        <f>"502040010001"</f>
        <v>502040010001</v>
      </c>
      <c r="C165" t="str">
        <f>"淡路広域消防事務組合　北淡出張所外壁修繕塗装工事"</f>
        <v>淡路広域消防事務組合　北淡出張所外壁修繕塗装工事</v>
      </c>
      <c r="D165" s="2">
        <v>44049</v>
      </c>
      <c r="E165" s="4">
        <v>1</v>
      </c>
      <c r="F165" s="1">
        <v>1246482</v>
      </c>
      <c r="G165" s="1">
        <v>1246481</v>
      </c>
      <c r="H165" s="1">
        <v>1</v>
      </c>
      <c r="I165" s="5" t="str">
        <f>"269.00"</f>
        <v>269.00</v>
      </c>
      <c r="J165" t="str">
        <f>"㎡"</f>
        <v>㎡</v>
      </c>
    </row>
    <row r="166" spans="1:10" ht="15.5" customHeight="1" x14ac:dyDescent="0.2">
      <c r="A166" t="str">
        <f>"物品"</f>
        <v>物品</v>
      </c>
      <c r="B166" s="5" t="str">
        <f>"502040010002"</f>
        <v>502040010002</v>
      </c>
      <c r="C166" t="str">
        <f>"指令システム機器更新"</f>
        <v>指令システム機器更新</v>
      </c>
      <c r="D166" s="2">
        <v>44286</v>
      </c>
      <c r="E166" s="4">
        <v>10</v>
      </c>
      <c r="F166" s="1">
        <v>24552000</v>
      </c>
      <c r="G166" s="1">
        <v>4910400</v>
      </c>
      <c r="H166" s="1">
        <v>19641600</v>
      </c>
    </row>
    <row r="167" spans="1:10" ht="15.5" customHeight="1" x14ac:dyDescent="0.2">
      <c r="A167" t="str">
        <f>"物品"</f>
        <v>物品</v>
      </c>
      <c r="B167" s="5" t="str">
        <f>"502040010003"</f>
        <v>502040010003</v>
      </c>
      <c r="C167" t="str">
        <f>"はしご付消防自動車"</f>
        <v>はしご付消防自動車</v>
      </c>
      <c r="D167" s="2">
        <v>43945</v>
      </c>
      <c r="E167" s="4">
        <v>5</v>
      </c>
      <c r="F167" s="1">
        <v>139700000</v>
      </c>
      <c r="G167" s="1">
        <v>55880000</v>
      </c>
      <c r="H167" s="1">
        <v>83820000</v>
      </c>
      <c r="I167" s="5">
        <v>1</v>
      </c>
      <c r="J167" t="str">
        <f>"台"</f>
        <v>台</v>
      </c>
    </row>
    <row r="168" spans="1:10" ht="15.5" customHeight="1" x14ac:dyDescent="0.2">
      <c r="A168" t="str">
        <f>"建物附属設備"</f>
        <v>建物附属設備</v>
      </c>
      <c r="B168" s="5" t="str">
        <f>"502040010004"</f>
        <v>502040010004</v>
      </c>
      <c r="C168" t="str">
        <f>"淡路広域消防事務組合　西淡出張所空調取替工事"</f>
        <v>淡路広域消防事務組合　西淡出張所空調取替工事</v>
      </c>
      <c r="D168" s="2">
        <v>44004</v>
      </c>
      <c r="E168" s="4">
        <v>13</v>
      </c>
      <c r="F168" s="1">
        <v>579700</v>
      </c>
      <c r="G168" s="1">
        <v>89272</v>
      </c>
      <c r="H168" s="1">
        <v>490428</v>
      </c>
      <c r="I168" s="5" t="str">
        <f>"284.80"</f>
        <v>284.80</v>
      </c>
      <c r="J168" t="str">
        <f>"㎡"</f>
        <v>㎡</v>
      </c>
    </row>
    <row r="169" spans="1:10" ht="15.5" customHeight="1" x14ac:dyDescent="0.2">
      <c r="A169" t="str">
        <f>"物品"</f>
        <v>物品</v>
      </c>
      <c r="B169" s="5" t="str">
        <f>"502100010001"</f>
        <v>502100010001</v>
      </c>
      <c r="C169" t="str">
        <f>"救助艇"</f>
        <v>救助艇</v>
      </c>
      <c r="D169" s="2">
        <v>44116</v>
      </c>
      <c r="E169" s="4">
        <v>9</v>
      </c>
      <c r="F169" s="1">
        <v>1314500</v>
      </c>
      <c r="G169" s="1">
        <v>294448</v>
      </c>
      <c r="H169" s="1">
        <v>1020052</v>
      </c>
      <c r="I169" s="5">
        <v>1</v>
      </c>
      <c r="J169" t="str">
        <f>"個"</f>
        <v>個</v>
      </c>
    </row>
    <row r="170" spans="1:10" ht="15.5" customHeight="1" x14ac:dyDescent="0.2">
      <c r="A170" t="str">
        <f>"物品"</f>
        <v>物品</v>
      </c>
      <c r="B170" s="5" t="str">
        <f>"503030010001"</f>
        <v>503030010001</v>
      </c>
      <c r="C170" t="str">
        <f>"指令システム機器更新"</f>
        <v>指令システム機器更新</v>
      </c>
      <c r="D170" s="2">
        <v>44651</v>
      </c>
      <c r="E170" s="4">
        <v>10</v>
      </c>
      <c r="F170" s="1">
        <v>30250000</v>
      </c>
      <c r="G170" s="1">
        <v>3025000</v>
      </c>
      <c r="H170" s="1">
        <v>27225000</v>
      </c>
    </row>
    <row r="171" spans="1:10" ht="15.5" customHeight="1" x14ac:dyDescent="0.2">
      <c r="A171" t="str">
        <f>"建物附属設備"</f>
        <v>建物附属設備</v>
      </c>
      <c r="B171" s="5" t="str">
        <f>"503030010002"</f>
        <v>503030010002</v>
      </c>
      <c r="C171" t="str">
        <f>"洲本井水雑用水設備改修工事"</f>
        <v>洲本井水雑用水設備改修工事</v>
      </c>
      <c r="D171" s="2">
        <v>44645</v>
      </c>
      <c r="E171" s="4">
        <v>1</v>
      </c>
      <c r="F171" s="1">
        <v>1287000</v>
      </c>
      <c r="G171" s="1">
        <v>1286999</v>
      </c>
      <c r="H171" s="1">
        <v>1</v>
      </c>
    </row>
    <row r="172" spans="1:10" ht="15.5" customHeight="1" x14ac:dyDescent="0.2">
      <c r="A172" t="str">
        <f>"建物"</f>
        <v>建物</v>
      </c>
      <c r="B172" s="5" t="str">
        <f>"503060010001"</f>
        <v>503060010001</v>
      </c>
      <c r="C172" t="str">
        <f>"津名一宮分署外壁等改修工事"</f>
        <v>津名一宮分署外壁等改修工事</v>
      </c>
      <c r="D172" s="2">
        <v>44469</v>
      </c>
      <c r="E172" s="4">
        <v>50</v>
      </c>
      <c r="F172" s="1">
        <v>6483620</v>
      </c>
      <c r="G172" s="1">
        <v>129672</v>
      </c>
      <c r="H172" s="1">
        <v>6353948</v>
      </c>
      <c r="I172" s="5" t="str">
        <f>"405.94"</f>
        <v>405.94</v>
      </c>
      <c r="J172" t="str">
        <f>"㎡"</f>
        <v>㎡</v>
      </c>
    </row>
    <row r="173" spans="1:10" ht="15.5" customHeight="1" x14ac:dyDescent="0.2">
      <c r="A173" t="str">
        <f>"物品"</f>
        <v>物品</v>
      </c>
      <c r="B173" s="5" t="str">
        <f>"503090010001"</f>
        <v>503090010001</v>
      </c>
      <c r="C173" t="str">
        <f>"消防ポンプ自動車【洲本】"</f>
        <v>消防ポンプ自動車【洲本】</v>
      </c>
      <c r="D173" s="2">
        <v>44469</v>
      </c>
      <c r="E173" s="4">
        <v>5</v>
      </c>
      <c r="F173" s="1">
        <v>47630000</v>
      </c>
      <c r="G173" s="1">
        <v>9526000</v>
      </c>
      <c r="H173" s="1">
        <v>38104000</v>
      </c>
      <c r="I173" s="6">
        <v>1</v>
      </c>
      <c r="J173" t="str">
        <f>"台"</f>
        <v>台</v>
      </c>
    </row>
    <row r="174" spans="1:10" ht="15.5" customHeight="1" x14ac:dyDescent="0.2">
      <c r="A174" t="str">
        <f>"物品"</f>
        <v>物品</v>
      </c>
      <c r="B174" s="5" t="str">
        <f>"503090010002"</f>
        <v>503090010002</v>
      </c>
      <c r="C174" t="str">
        <f>"消防ポンプ自動車【五色】"</f>
        <v>消防ポンプ自動車【五色】</v>
      </c>
      <c r="D174" s="2">
        <v>44469</v>
      </c>
      <c r="E174" s="4">
        <v>5</v>
      </c>
      <c r="F174" s="1">
        <v>43560000</v>
      </c>
      <c r="G174" s="1">
        <v>8712000</v>
      </c>
      <c r="H174" s="1">
        <v>34848000</v>
      </c>
      <c r="I174" s="6">
        <v>1</v>
      </c>
      <c r="J174" t="str">
        <f>"台"</f>
        <v>台</v>
      </c>
    </row>
    <row r="175" spans="1:10" ht="15.5" customHeight="1" x14ac:dyDescent="0.2">
      <c r="A175" t="str">
        <f>"物品"</f>
        <v>物品</v>
      </c>
      <c r="B175" s="5" t="str">
        <f>"504070010001"</f>
        <v>504070010001</v>
      </c>
      <c r="C175" t="str">
        <f>"消防ポンプ自動車【由良】"</f>
        <v>消防ポンプ自動車【由良】</v>
      </c>
      <c r="D175" s="2">
        <v>44761</v>
      </c>
      <c r="E175" s="4">
        <v>5</v>
      </c>
      <c r="F175" s="1">
        <v>48950000</v>
      </c>
      <c r="G175" s="1">
        <v>0</v>
      </c>
      <c r="H175" s="1">
        <v>48950000</v>
      </c>
      <c r="I175" s="6">
        <v>1</v>
      </c>
      <c r="J175" t="str">
        <f>"台"</f>
        <v>台</v>
      </c>
    </row>
    <row r="176" spans="1:10" ht="15.5" customHeight="1" x14ac:dyDescent="0.2">
      <c r="A176" t="str">
        <f>"建物"</f>
        <v>建物</v>
      </c>
      <c r="B176" s="5" t="str">
        <f>"504120010001"</f>
        <v>504120010001</v>
      </c>
      <c r="C176" t="str">
        <f>"洲本消防署感染症対策工事（建物）"</f>
        <v>洲本消防署感染症対策工事（建物）</v>
      </c>
      <c r="D176" s="2">
        <v>44918</v>
      </c>
      <c r="E176" s="4">
        <v>50</v>
      </c>
      <c r="F176" s="1">
        <v>9288240</v>
      </c>
      <c r="G176" s="1">
        <v>0</v>
      </c>
      <c r="H176" s="1">
        <v>9288240</v>
      </c>
      <c r="I176" s="5" t="str">
        <f>"405.94"</f>
        <v>405.94</v>
      </c>
      <c r="J176" t="str">
        <f t="shared" ref="J176:J181" si="20">"㎡"</f>
        <v>㎡</v>
      </c>
    </row>
    <row r="177" spans="1:10" ht="15.5" customHeight="1" x14ac:dyDescent="0.2">
      <c r="A177" t="str">
        <f>"建物"</f>
        <v>建物</v>
      </c>
      <c r="B177" s="5" t="str">
        <f>"504120010001"</f>
        <v>504120010001</v>
      </c>
      <c r="C177" t="str">
        <f>"洲本消防署感染症対策工事（建物）"</f>
        <v>洲本消防署感染症対策工事（建物）</v>
      </c>
      <c r="D177" s="2">
        <v>44918</v>
      </c>
      <c r="E177" s="4">
        <v>50</v>
      </c>
      <c r="F177" s="1">
        <v>9288240</v>
      </c>
      <c r="G177" s="1">
        <v>0</v>
      </c>
      <c r="H177" s="1">
        <v>9288240</v>
      </c>
      <c r="I177" s="5" t="str">
        <f>"405.94"</f>
        <v>405.94</v>
      </c>
      <c r="J177" t="str">
        <f t="shared" si="20"/>
        <v>㎡</v>
      </c>
    </row>
    <row r="178" spans="1:10" ht="15.5" customHeight="1" x14ac:dyDescent="0.2">
      <c r="A178" t="str">
        <f>"建物附属設備"</f>
        <v>建物附属設備</v>
      </c>
      <c r="B178" s="5" t="str">
        <f>"504120010002"</f>
        <v>504120010002</v>
      </c>
      <c r="C178" t="str">
        <f>"洲本消防署感染症対策工事（電気設備）"</f>
        <v>洲本消防署感染症対策工事（電気設備）</v>
      </c>
      <c r="D178" s="2">
        <v>44918</v>
      </c>
      <c r="E178" s="4">
        <v>15</v>
      </c>
      <c r="F178" s="1">
        <v>3571380</v>
      </c>
      <c r="G178" s="1">
        <v>0</v>
      </c>
      <c r="H178" s="1">
        <v>3571380</v>
      </c>
      <c r="I178" s="5" t="str">
        <f>"284.80"</f>
        <v>284.80</v>
      </c>
      <c r="J178" t="str">
        <f t="shared" si="20"/>
        <v>㎡</v>
      </c>
    </row>
    <row r="179" spans="1:10" ht="15.5" customHeight="1" x14ac:dyDescent="0.2">
      <c r="A179" t="str">
        <f>"建物附属設備"</f>
        <v>建物附属設備</v>
      </c>
      <c r="B179" s="5" t="str">
        <f>"504120010002"</f>
        <v>504120010002</v>
      </c>
      <c r="C179" t="str">
        <f>"洲本消防署感染症対策工事（電気設備）"</f>
        <v>洲本消防署感染症対策工事（電気設備）</v>
      </c>
      <c r="D179" s="2">
        <v>44918</v>
      </c>
      <c r="E179" s="4">
        <v>15</v>
      </c>
      <c r="F179" s="1">
        <v>3571380</v>
      </c>
      <c r="G179" s="1">
        <v>0</v>
      </c>
      <c r="H179" s="1">
        <v>3571380</v>
      </c>
      <c r="I179" s="5" t="str">
        <f>"284.80"</f>
        <v>284.80</v>
      </c>
      <c r="J179" t="str">
        <f t="shared" si="20"/>
        <v>㎡</v>
      </c>
    </row>
    <row r="180" spans="1:10" ht="15.5" customHeight="1" x14ac:dyDescent="0.2">
      <c r="A180" t="str">
        <f>"建物附属設備"</f>
        <v>建物附属設備</v>
      </c>
      <c r="B180" s="5" t="str">
        <f>"504120010003"</f>
        <v>504120010003</v>
      </c>
      <c r="C180" t="str">
        <f>"洲本消防署感染症対策工事（冷暖房設備）"</f>
        <v>洲本消防署感染症対策工事（冷暖房設備）</v>
      </c>
      <c r="D180" s="2">
        <v>44918</v>
      </c>
      <c r="E180" s="4">
        <v>13</v>
      </c>
      <c r="F180" s="1">
        <v>5070380</v>
      </c>
      <c r="G180" s="1">
        <v>0</v>
      </c>
      <c r="H180" s="1">
        <v>5070380</v>
      </c>
      <c r="I180" s="5" t="str">
        <f>"284.80"</f>
        <v>284.80</v>
      </c>
      <c r="J180" t="str">
        <f t="shared" si="20"/>
        <v>㎡</v>
      </c>
    </row>
    <row r="181" spans="1:10" ht="15.5" customHeight="1" x14ac:dyDescent="0.2">
      <c r="A181" t="str">
        <f>"建物附属設備"</f>
        <v>建物附属設備</v>
      </c>
      <c r="B181" s="5" t="str">
        <f>"504120010003"</f>
        <v>504120010003</v>
      </c>
      <c r="C181" t="str">
        <f>"洲本消防署感染症対策工事（冷暖房設備）"</f>
        <v>洲本消防署感染症対策工事（冷暖房設備）</v>
      </c>
      <c r="D181" s="2">
        <v>44918</v>
      </c>
      <c r="E181" s="4">
        <v>13</v>
      </c>
      <c r="F181" s="1">
        <v>5070380</v>
      </c>
      <c r="G181" s="1">
        <v>0</v>
      </c>
      <c r="H181" s="1">
        <v>5070380</v>
      </c>
      <c r="I181" s="5" t="str">
        <f>"284.80"</f>
        <v>284.80</v>
      </c>
      <c r="J181" t="str">
        <f t="shared" si="20"/>
        <v>㎡</v>
      </c>
    </row>
  </sheetData>
  <autoFilter ref="A3:J181" xr:uid="{00000000-0009-0000-0000-000000000000}"/>
  <mergeCells count="2">
    <mergeCell ref="A1:H1"/>
    <mergeCell ref="I1:J1"/>
  </mergeCells>
  <phoneticPr fontId="18"/>
  <printOptions horizontalCentered="1"/>
  <pageMargins left="0.59055118110236227" right="0.39370078740157483" top="0.59055118110236227" bottom="0.59055118110236227" header="0.31496062992125984" footer="0.31496062992125984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固定資産公表用資料</vt:lpstr>
      <vt:lpstr>固定資産公表用資料!Print_Area</vt:lpstr>
      <vt:lpstr>固定資産公表用資料!Print_Titles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 </cp:lastModifiedBy>
  <cp:lastPrinted>2023-09-06T02:43:02Z</cp:lastPrinted>
  <dcterms:created xsi:type="dcterms:W3CDTF">2023-08-29T09:17:36Z</dcterms:created>
  <dcterms:modified xsi:type="dcterms:W3CDTF">2023-09-06T02:43:18Z</dcterms:modified>
</cp:coreProperties>
</file>